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 defaultThemeVersion="124226"/>
  <workbookProtection workbookPassword="C62E" lockStructure="1"/>
  <bookViews>
    <workbookView xWindow="8028" yWindow="672" windowWidth="21528" windowHeight="14628" tabRatio="679"/>
  </bookViews>
  <sheets>
    <sheet name="On-Site Improvements" sheetId="1" r:id="rId1"/>
  </sheets>
  <definedNames>
    <definedName name="_xlnm.Print_Area" localSheetId="0">'On-Site Improvements'!$A$8:$F$369</definedName>
    <definedName name="_xlnm.Print_Titles" localSheetId="0">'On-Site Improvements'!$1:$5</definedName>
  </definedNames>
  <calcPr calcId="145621"/>
</workbook>
</file>

<file path=xl/calcChain.xml><?xml version="1.0" encoding="utf-8"?>
<calcChain xmlns="http://schemas.openxmlformats.org/spreadsheetml/2006/main">
  <c r="E240" i="1" l="1"/>
  <c r="F240" i="1" s="1"/>
  <c r="E357" i="1"/>
  <c r="F357" i="1" s="1"/>
  <c r="F356" i="1"/>
  <c r="E356" i="1"/>
  <c r="C83" i="1"/>
  <c r="C91" i="1"/>
  <c r="E10" i="1"/>
  <c r="F10" i="1" s="1"/>
  <c r="E353" i="1"/>
  <c r="E351" i="1"/>
  <c r="E350" i="1"/>
  <c r="F350" i="1" s="1"/>
  <c r="E349" i="1"/>
  <c r="E347" i="1"/>
  <c r="E346" i="1"/>
  <c r="F346" i="1" s="1"/>
  <c r="E345" i="1"/>
  <c r="F345" i="1"/>
  <c r="E344" i="1"/>
  <c r="E342" i="1"/>
  <c r="F342" i="1" s="1"/>
  <c r="E341" i="1"/>
  <c r="F341" i="1" s="1"/>
  <c r="E340" i="1"/>
  <c r="F340" i="1" s="1"/>
  <c r="E339" i="1"/>
  <c r="F339" i="1" s="1"/>
  <c r="E338" i="1"/>
  <c r="F338" i="1" s="1"/>
  <c r="E336" i="1"/>
  <c r="F336" i="1" s="1"/>
  <c r="E335" i="1"/>
  <c r="E334" i="1"/>
  <c r="F334" i="1"/>
  <c r="E333" i="1"/>
  <c r="E332" i="1"/>
  <c r="F332" i="1" s="1"/>
  <c r="E331" i="1"/>
  <c r="F331" i="1" s="1"/>
  <c r="E329" i="1"/>
  <c r="E328" i="1"/>
  <c r="F328" i="1"/>
  <c r="E327" i="1"/>
  <c r="F327" i="1" s="1"/>
  <c r="E326" i="1"/>
  <c r="E325" i="1"/>
  <c r="F325" i="1" s="1"/>
  <c r="E323" i="1"/>
  <c r="E322" i="1"/>
  <c r="E321" i="1"/>
  <c r="F321" i="1"/>
  <c r="E320" i="1"/>
  <c r="F320" i="1" s="1"/>
  <c r="E319" i="1"/>
  <c r="F319" i="1"/>
  <c r="E318" i="1"/>
  <c r="E317" i="1"/>
  <c r="F317" i="1" s="1"/>
  <c r="E315" i="1"/>
  <c r="F315" i="1" s="1"/>
  <c r="E314" i="1"/>
  <c r="E313" i="1"/>
  <c r="E312" i="1"/>
  <c r="F312" i="1" s="1"/>
  <c r="E311" i="1"/>
  <c r="E310" i="1"/>
  <c r="F310" i="1"/>
  <c r="E309" i="1"/>
  <c r="F309" i="1" s="1"/>
  <c r="E307" i="1"/>
  <c r="F307" i="1"/>
  <c r="E306" i="1"/>
  <c r="F306" i="1" s="1"/>
  <c r="E305" i="1"/>
  <c r="E304" i="1"/>
  <c r="F304" i="1"/>
  <c r="E303" i="1"/>
  <c r="F303" i="1" s="1"/>
  <c r="E301" i="1"/>
  <c r="E300" i="1"/>
  <c r="E299" i="1"/>
  <c r="E298" i="1"/>
  <c r="E296" i="1"/>
  <c r="E295" i="1"/>
  <c r="F295" i="1" s="1"/>
  <c r="E294" i="1"/>
  <c r="F294" i="1" s="1"/>
  <c r="E293" i="1"/>
  <c r="F293" i="1" s="1"/>
  <c r="E289" i="1"/>
  <c r="F289" i="1" s="1"/>
  <c r="E288" i="1"/>
  <c r="E287" i="1"/>
  <c r="F287" i="1" s="1"/>
  <c r="E286" i="1"/>
  <c r="F286" i="1" s="1"/>
  <c r="E285" i="1"/>
  <c r="F285" i="1" s="1"/>
  <c r="E284" i="1"/>
  <c r="F284" i="1" s="1"/>
  <c r="E283" i="1"/>
  <c r="E278" i="1"/>
  <c r="F278" i="1" s="1"/>
  <c r="E275" i="1"/>
  <c r="F275" i="1" s="1"/>
  <c r="E274" i="1"/>
  <c r="E273" i="1"/>
  <c r="F273" i="1" s="1"/>
  <c r="E270" i="1"/>
  <c r="E268" i="1"/>
  <c r="E266" i="1"/>
  <c r="F266" i="1" s="1"/>
  <c r="E264" i="1"/>
  <c r="F264" i="1" s="1"/>
  <c r="E263" i="1"/>
  <c r="F263" i="1" s="1"/>
  <c r="E260" i="1"/>
  <c r="E258" i="1"/>
  <c r="E256" i="1"/>
  <c r="E254" i="1"/>
  <c r="E253" i="1"/>
  <c r="F253" i="1" s="1"/>
  <c r="E252" i="1"/>
  <c r="F252" i="1" s="1"/>
  <c r="E251" i="1"/>
  <c r="F251" i="1" s="1"/>
  <c r="E248" i="1"/>
  <c r="F248" i="1" s="1"/>
  <c r="E247" i="1"/>
  <c r="F247" i="1" s="1"/>
  <c r="E246" i="1"/>
  <c r="F246" i="1"/>
  <c r="E245" i="1"/>
  <c r="F245" i="1" s="1"/>
  <c r="E242" i="1"/>
  <c r="F242" i="1"/>
  <c r="E239" i="1"/>
  <c r="F239" i="1" s="1"/>
  <c r="E238" i="1"/>
  <c r="F238" i="1"/>
  <c r="E235" i="1"/>
  <c r="E233" i="1"/>
  <c r="E231" i="1"/>
  <c r="F231" i="1"/>
  <c r="E230" i="1"/>
  <c r="F230" i="1" s="1"/>
  <c r="E229" i="1"/>
  <c r="F229" i="1"/>
  <c r="E228" i="1"/>
  <c r="F228" i="1" s="1"/>
  <c r="E226" i="1"/>
  <c r="F226" i="1"/>
  <c r="E225" i="1"/>
  <c r="F225" i="1" s="1"/>
  <c r="E224" i="1"/>
  <c r="F224" i="1" s="1"/>
  <c r="E223" i="1"/>
  <c r="F223" i="1" s="1"/>
  <c r="E220" i="1"/>
  <c r="F220" i="1" s="1"/>
  <c r="E219" i="1"/>
  <c r="F219" i="1" s="1"/>
  <c r="E218" i="1"/>
  <c r="E217" i="1"/>
  <c r="F217" i="1"/>
  <c r="E216" i="1"/>
  <c r="F216" i="1" s="1"/>
  <c r="E214" i="1"/>
  <c r="F214" i="1" s="1"/>
  <c r="E213" i="1"/>
  <c r="F213" i="1" s="1"/>
  <c r="E212" i="1"/>
  <c r="E211" i="1"/>
  <c r="F211" i="1"/>
  <c r="E210" i="1"/>
  <c r="F210" i="1" s="1"/>
  <c r="E209" i="1"/>
  <c r="F209" i="1"/>
  <c r="E208" i="1"/>
  <c r="E207" i="1"/>
  <c r="E205" i="1"/>
  <c r="F205" i="1"/>
  <c r="E204" i="1"/>
  <c r="F204" i="1" s="1"/>
  <c r="E203" i="1"/>
  <c r="E202" i="1"/>
  <c r="E201" i="1"/>
  <c r="F201" i="1" s="1"/>
  <c r="E200" i="1"/>
  <c r="F200" i="1" s="1"/>
  <c r="E199" i="1"/>
  <c r="F199" i="1" s="1"/>
  <c r="E198" i="1"/>
  <c r="F198" i="1" s="1"/>
  <c r="E197" i="1"/>
  <c r="E196" i="1"/>
  <c r="F196" i="1" s="1"/>
  <c r="E195" i="1"/>
  <c r="F195" i="1"/>
  <c r="E194" i="1"/>
  <c r="F194" i="1" s="1"/>
  <c r="E193" i="1"/>
  <c r="F193" i="1"/>
  <c r="E192" i="1"/>
  <c r="F192" i="1" s="1"/>
  <c r="E190" i="1"/>
  <c r="E189" i="1"/>
  <c r="F189" i="1" s="1"/>
  <c r="E188" i="1"/>
  <c r="E187" i="1"/>
  <c r="F187" i="1"/>
  <c r="E186" i="1"/>
  <c r="F186" i="1" s="1"/>
  <c r="E185" i="1"/>
  <c r="E184" i="1"/>
  <c r="F184" i="1" s="1"/>
  <c r="E183" i="1"/>
  <c r="E182" i="1"/>
  <c r="E181" i="1"/>
  <c r="F181" i="1"/>
  <c r="E180" i="1"/>
  <c r="E178" i="1"/>
  <c r="F178" i="1" s="1"/>
  <c r="E177" i="1"/>
  <c r="F177" i="1" s="1"/>
  <c r="E176" i="1"/>
  <c r="F176" i="1" s="1"/>
  <c r="E175" i="1"/>
  <c r="F175" i="1"/>
  <c r="E174" i="1"/>
  <c r="F174" i="1" s="1"/>
  <c r="E173" i="1"/>
  <c r="F173" i="1"/>
  <c r="E172" i="1"/>
  <c r="F172" i="1" s="1"/>
  <c r="E171" i="1"/>
  <c r="F171" i="1"/>
  <c r="E170" i="1"/>
  <c r="F170" i="1" s="1"/>
  <c r="E169" i="1"/>
  <c r="E168" i="1"/>
  <c r="E166" i="1"/>
  <c r="F166" i="1" s="1"/>
  <c r="E165" i="1"/>
  <c r="E164" i="1"/>
  <c r="F164" i="1" s="1"/>
  <c r="E163" i="1"/>
  <c r="E162" i="1"/>
  <c r="F162" i="1" s="1"/>
  <c r="E161" i="1"/>
  <c r="F161" i="1" s="1"/>
  <c r="E158" i="1"/>
  <c r="F158" i="1" s="1"/>
  <c r="E157" i="1"/>
  <c r="E156" i="1"/>
  <c r="F156" i="1" s="1"/>
  <c r="E154" i="1"/>
  <c r="F154" i="1" s="1"/>
  <c r="E153" i="1"/>
  <c r="F153" i="1" s="1"/>
  <c r="E150" i="1"/>
  <c r="F150" i="1" s="1"/>
  <c r="E147" i="1"/>
  <c r="E148" i="1"/>
  <c r="E145" i="1"/>
  <c r="F145" i="1" s="1"/>
  <c r="E144" i="1"/>
  <c r="F144" i="1" s="1"/>
  <c r="E141" i="1"/>
  <c r="E138" i="1"/>
  <c r="F138" i="1" s="1"/>
  <c r="E137" i="1"/>
  <c r="F137" i="1"/>
  <c r="E135" i="1"/>
  <c r="E134" i="1"/>
  <c r="F134" i="1" s="1"/>
  <c r="E131" i="1"/>
  <c r="F131" i="1" s="1"/>
  <c r="E130" i="1"/>
  <c r="F130" i="1" s="1"/>
  <c r="E129" i="1"/>
  <c r="F129" i="1"/>
  <c r="E128" i="1"/>
  <c r="E127" i="1"/>
  <c r="F127" i="1" s="1"/>
  <c r="E123" i="1"/>
  <c r="E122" i="1"/>
  <c r="E119" i="1"/>
  <c r="F119" i="1" s="1"/>
  <c r="E118" i="1"/>
  <c r="F118" i="1" s="1"/>
  <c r="E117" i="1"/>
  <c r="E116" i="1"/>
  <c r="E112" i="1"/>
  <c r="F112" i="1" s="1"/>
  <c r="E110" i="1"/>
  <c r="F110" i="1" s="1"/>
  <c r="E107" i="1"/>
  <c r="F107" i="1" s="1"/>
  <c r="E106" i="1"/>
  <c r="F106" i="1" s="1"/>
  <c r="E103" i="1"/>
  <c r="F103" i="1" s="1"/>
  <c r="E102" i="1"/>
  <c r="E99" i="1"/>
  <c r="E98" i="1"/>
  <c r="F98" i="1" s="1"/>
  <c r="E95" i="1"/>
  <c r="F95" i="1" s="1"/>
  <c r="E93" i="1"/>
  <c r="F93" i="1"/>
  <c r="E91" i="1"/>
  <c r="E87" i="1"/>
  <c r="F87" i="1" s="1"/>
  <c r="E86" i="1"/>
  <c r="F86" i="1" s="1"/>
  <c r="E83" i="1"/>
  <c r="E82" i="1"/>
  <c r="E78" i="1"/>
  <c r="F78" i="1" s="1"/>
  <c r="E76" i="1"/>
  <c r="F76" i="1" s="1"/>
  <c r="E74" i="1"/>
  <c r="F74" i="1"/>
  <c r="E71" i="1"/>
  <c r="F71" i="1" s="1"/>
  <c r="E70" i="1"/>
  <c r="F70" i="1"/>
  <c r="E69" i="1"/>
  <c r="E68" i="1"/>
  <c r="F68" i="1" s="1"/>
  <c r="E67" i="1"/>
  <c r="F67" i="1" s="1"/>
  <c r="E64" i="1"/>
  <c r="F64" i="1" s="1"/>
  <c r="E61" i="1"/>
  <c r="E60" i="1"/>
  <c r="E59" i="1"/>
  <c r="E58" i="1"/>
  <c r="E55" i="1"/>
  <c r="E52" i="1"/>
  <c r="E49" i="1"/>
  <c r="E48" i="1"/>
  <c r="E47" i="1"/>
  <c r="E44" i="1"/>
  <c r="E43" i="1"/>
  <c r="E42" i="1"/>
  <c r="E41" i="1"/>
  <c r="E40" i="1"/>
  <c r="E36" i="1"/>
  <c r="E35" i="1"/>
  <c r="F35" i="1"/>
  <c r="E34" i="1"/>
  <c r="F34" i="1" s="1"/>
  <c r="E33" i="1"/>
  <c r="F33" i="1"/>
  <c r="E32" i="1"/>
  <c r="F32" i="1" s="1"/>
  <c r="E29" i="1"/>
  <c r="E28" i="1"/>
  <c r="F28" i="1" s="1"/>
  <c r="E27" i="1"/>
  <c r="F27" i="1" s="1"/>
  <c r="E26" i="1"/>
  <c r="E25" i="1"/>
  <c r="F25" i="1" s="1"/>
  <c r="E22" i="1"/>
  <c r="E20" i="1"/>
  <c r="F20" i="1"/>
  <c r="E19" i="1"/>
  <c r="F19" i="1" s="1"/>
  <c r="E16" i="1"/>
  <c r="E15" i="1"/>
  <c r="F15" i="1" s="1"/>
  <c r="E14" i="1"/>
  <c r="F14" i="1" s="1"/>
  <c r="E13" i="1"/>
  <c r="F13" i="1" s="1"/>
  <c r="F305" i="1"/>
  <c r="F353" i="1"/>
  <c r="F351" i="1"/>
  <c r="F349" i="1"/>
  <c r="F301" i="1"/>
  <c r="F300" i="1"/>
  <c r="F299" i="1"/>
  <c r="F298" i="1"/>
  <c r="F296" i="1"/>
  <c r="F333" i="1"/>
  <c r="F326" i="1"/>
  <c r="F322" i="1"/>
  <c r="F318" i="1"/>
  <c r="F313" i="1"/>
  <c r="F311" i="1"/>
  <c r="F283" i="1"/>
  <c r="F276" i="1"/>
  <c r="F274" i="1"/>
  <c r="F270" i="1"/>
  <c r="F268" i="1"/>
  <c r="F260" i="1"/>
  <c r="F258" i="1"/>
  <c r="F235" i="1"/>
  <c r="F233" i="1"/>
  <c r="F218" i="1"/>
  <c r="F212" i="1"/>
  <c r="F208" i="1"/>
  <c r="F207" i="1"/>
  <c r="F203" i="1"/>
  <c r="F202" i="1"/>
  <c r="F197" i="1"/>
  <c r="F190" i="1"/>
  <c r="F188" i="1"/>
  <c r="F185" i="1"/>
  <c r="F183" i="1"/>
  <c r="F182" i="1"/>
  <c r="F169" i="1"/>
  <c r="F168" i="1"/>
  <c r="F165" i="1"/>
  <c r="F163" i="1"/>
  <c r="F157" i="1"/>
  <c r="F128" i="1"/>
  <c r="F122" i="1"/>
  <c r="F117" i="1"/>
  <c r="F116" i="1"/>
  <c r="E113" i="1"/>
  <c r="F113" i="1" s="1"/>
  <c r="E111" i="1"/>
  <c r="F111" i="1" s="1"/>
  <c r="F102" i="1"/>
  <c r="F99" i="1"/>
  <c r="F29" i="1"/>
  <c r="F16" i="1"/>
  <c r="F335" i="1"/>
  <c r="F323" i="1"/>
  <c r="F314" i="1"/>
  <c r="F288" i="1"/>
  <c r="F256" i="1"/>
  <c r="F254" i="1"/>
  <c r="F180" i="1"/>
  <c r="F123" i="1"/>
  <c r="F36" i="1"/>
  <c r="F26" i="1"/>
  <c r="F69" i="1"/>
  <c r="F135" i="1"/>
  <c r="F277" i="1"/>
  <c r="F329" i="1"/>
  <c r="F344" i="1"/>
  <c r="F347" i="1"/>
  <c r="F279" i="1"/>
  <c r="F280" i="1"/>
  <c r="F82" i="1"/>
  <c r="E142" i="1"/>
  <c r="F142" i="1"/>
  <c r="E143" i="1"/>
  <c r="F143" i="1" s="1"/>
  <c r="F141" i="1"/>
  <c r="F83" i="1"/>
  <c r="F148" i="1"/>
  <c r="E149" i="1"/>
  <c r="F149" i="1"/>
  <c r="F147" i="1"/>
  <c r="E146" i="1"/>
  <c r="F146" i="1" s="1"/>
  <c r="F91" i="1"/>
  <c r="F358" i="1" l="1"/>
  <c r="F366" i="1"/>
  <c r="F360" i="1" l="1"/>
  <c r="F362" i="1" s="1"/>
  <c r="F364" i="1" s="1"/>
  <c r="F375" i="1" l="1"/>
  <c r="F376" i="1" s="1"/>
  <c r="F368" i="1"/>
  <c r="F369" i="1"/>
  <c r="F371" i="1" l="1"/>
</calcChain>
</file>

<file path=xl/sharedStrings.xml><?xml version="1.0" encoding="utf-8"?>
<sst xmlns="http://schemas.openxmlformats.org/spreadsheetml/2006/main" count="866" uniqueCount="596">
  <si>
    <t>31 23 16.46 4200, 4220, 4240; 31 23 23.23 9000</t>
  </si>
  <si>
    <t>G2040-240-4000</t>
  </si>
  <si>
    <t>G2040-240-4200</t>
  </si>
  <si>
    <t>31 25 13.10 1305</t>
  </si>
  <si>
    <t>31 25 13.10 1310</t>
  </si>
  <si>
    <t>22 13 19.13 2040</t>
  </si>
  <si>
    <t>Rei. Conc., Cantilever, 8' high w/ sur.</t>
  </si>
  <si>
    <t>Rip Rap Lined Ditch</t>
  </si>
  <si>
    <t>Erosion Control</t>
  </si>
  <si>
    <t>LS</t>
  </si>
  <si>
    <t>Mobilization</t>
  </si>
  <si>
    <t>Extension</t>
  </si>
  <si>
    <t>Aggregate Base</t>
  </si>
  <si>
    <t>60" CMP Storm Drain, Coated</t>
  </si>
  <si>
    <t>72" CMP Storm Drain, Coated</t>
  </si>
  <si>
    <t>Rei. Conc., Cantilever, 4' high w/ sur.</t>
  </si>
  <si>
    <t>54" HDPE Storm Drain</t>
  </si>
  <si>
    <t>60" HDPE Storm Drain</t>
  </si>
  <si>
    <t>6" PVC Storm Drain, SDR35</t>
  </si>
  <si>
    <t>8" PVC Storm Drain, SDR35</t>
  </si>
  <si>
    <t>Contingency</t>
  </si>
  <si>
    <t>Asphalt Concrete</t>
  </si>
  <si>
    <t>36" CMP Storm Drain End Section</t>
  </si>
  <si>
    <t>48" CMP Storm Drain End Section</t>
  </si>
  <si>
    <t>02 41 13.90 0500</t>
  </si>
  <si>
    <t>02 41 13.90 0600</t>
  </si>
  <si>
    <t>02 41 13.90 0900</t>
  </si>
  <si>
    <t>CMP 12" Steel</t>
  </si>
  <si>
    <t>CMP 6"-10" Steel</t>
  </si>
  <si>
    <t>02 41 13.40 0140</t>
  </si>
  <si>
    <t>30" Wide, Radius</t>
  </si>
  <si>
    <t>G2040-210-4600</t>
  </si>
  <si>
    <t>2" Asphalt, No Base</t>
  </si>
  <si>
    <t>2.5" Asphalt, No Base</t>
  </si>
  <si>
    <t>36" RCP - Class 3 Storm Drain end sections</t>
  </si>
  <si>
    <t>Concrete Wall 6' High</t>
  </si>
  <si>
    <t>Concrete Wall 8' High</t>
  </si>
  <si>
    <t>32 16 19.10 0100 in 2010 book</t>
  </si>
  <si>
    <t>32 16 19.10 0150 in 2010 book</t>
  </si>
  <si>
    <t>32 16 40.13 1100 in 2010 book</t>
  </si>
  <si>
    <t>32 16 40.13 1300 in 2010 book</t>
  </si>
  <si>
    <t>32 16 13.43 1100</t>
  </si>
  <si>
    <t>32 16 13.43 1300</t>
  </si>
  <si>
    <t>31 25 13.10 0200 in 2010 book</t>
  </si>
  <si>
    <t>31 25 13.10 1100 in 2010 book</t>
  </si>
  <si>
    <t>31 25 14.16 1100</t>
  </si>
  <si>
    <t>31 25 14.16 1250 &amp; 31 25 14.16 1200</t>
  </si>
  <si>
    <t>5.8*1.33 for excavation typ.</t>
  </si>
  <si>
    <t>23.5*1.33</t>
  </si>
  <si>
    <t>20*1.33</t>
  </si>
  <si>
    <t>18*1.33</t>
  </si>
  <si>
    <t>12.55*1.33</t>
  </si>
  <si>
    <t>8.1*1.33</t>
  </si>
  <si>
    <t>21*1.33</t>
  </si>
  <si>
    <t>24*1.33</t>
  </si>
  <si>
    <t>27*1.33</t>
  </si>
  <si>
    <t>35.5*1.33</t>
  </si>
  <si>
    <t>37*1.33</t>
  </si>
  <si>
    <t>43*1.33</t>
  </si>
  <si>
    <t>62*1.33</t>
  </si>
  <si>
    <t>68*1.33</t>
  </si>
  <si>
    <t>97.5*1.33</t>
  </si>
  <si>
    <t>147*1.33</t>
  </si>
  <si>
    <t>200*1.33</t>
  </si>
  <si>
    <t>192*1.33</t>
  </si>
  <si>
    <t>215*1.33</t>
  </si>
  <si>
    <t>300*1.33</t>
  </si>
  <si>
    <t>390*1.33</t>
  </si>
  <si>
    <t>450*1.33</t>
  </si>
  <si>
    <t>560*1.33</t>
  </si>
  <si>
    <t>815*1.33</t>
  </si>
  <si>
    <t>1075*1.33</t>
  </si>
  <si>
    <t>2400*1.33</t>
  </si>
  <si>
    <t>2800*1.33</t>
  </si>
  <si>
    <t>4275*1.33</t>
  </si>
  <si>
    <t>4.3*1.33</t>
  </si>
  <si>
    <t>5.8*1.33</t>
  </si>
  <si>
    <t>8*1.33</t>
  </si>
  <si>
    <t>11.3*1.33</t>
  </si>
  <si>
    <t>12.05*1.33</t>
  </si>
  <si>
    <t>13.15*1.33</t>
  </si>
  <si>
    <t>17.65*1.33</t>
  </si>
  <si>
    <t>23*1.33</t>
  </si>
  <si>
    <t>35*1.33</t>
  </si>
  <si>
    <t>53*1.33</t>
  </si>
  <si>
    <t>90*1.33</t>
  </si>
  <si>
    <t>132*1.33</t>
  </si>
  <si>
    <t>155*1.33</t>
  </si>
  <si>
    <t>25*1.33</t>
  </si>
  <si>
    <t>30.5*1.33</t>
  </si>
  <si>
    <t>36*1.33</t>
  </si>
  <si>
    <t>50.5*1.33</t>
  </si>
  <si>
    <t>128*1.33</t>
  </si>
  <si>
    <t>189*1.33</t>
  </si>
  <si>
    <t>50*1.33</t>
  </si>
  <si>
    <t>71.5*1.33</t>
  </si>
  <si>
    <t>31 23 16.46 4200, 4220, 4240; 31 23 23.17 0170; 31 23 23.23 6000 &amp; 9000</t>
  </si>
  <si>
    <t>207*1.33</t>
  </si>
  <si>
    <t>81.5*1.33</t>
  </si>
  <si>
    <t>31 23 23.15 4070, 5070, 6070, 7070; 31 23 23.23 9000 &amp;6020</t>
  </si>
  <si>
    <t>Pro Rata between 9" -12"</t>
  </si>
  <si>
    <t>60" CMP Storm Drain End Section</t>
  </si>
  <si>
    <t>16" Diameter</t>
  </si>
  <si>
    <t>18" Diameter</t>
  </si>
  <si>
    <t>Cast-in-place End Bearing Pile, no reinforcing</t>
  </si>
  <si>
    <t>Redwood R/W, 8x8 post, 2' o.c., 8' high</t>
  </si>
  <si>
    <t>Rei. Conc., Cantilever, 12' high w/ sur.</t>
  </si>
  <si>
    <t>Export Cut</t>
  </si>
  <si>
    <t>CY</t>
  </si>
  <si>
    <t>Subtotal</t>
  </si>
  <si>
    <t>Concrete, 4" thick mesh rein.</t>
  </si>
  <si>
    <t>31 22 16.10 1020</t>
  </si>
  <si>
    <t>55.5*1.33</t>
  </si>
  <si>
    <t>G2040-220-1860</t>
  </si>
  <si>
    <t>G2040-220-1880</t>
  </si>
  <si>
    <t>Redwood R/W, 6x6 post, 3' o.c., 6' high</t>
  </si>
  <si>
    <t>Large, 24" x 36"</t>
  </si>
  <si>
    <t>Each additional inch of depth</t>
  </si>
  <si>
    <t>Asphalt 4" to 6" deep</t>
  </si>
  <si>
    <t>Pavement Removal, with aggregate</t>
  </si>
  <si>
    <t>Curb Removal</t>
  </si>
  <si>
    <t>Plain Concrete</t>
  </si>
  <si>
    <t>Reinforced Concrete</t>
  </si>
  <si>
    <t>Granite</t>
  </si>
  <si>
    <t>Wood</t>
  </si>
  <si>
    <t>Catch Basin 4'-8' deep precast</t>
  </si>
  <si>
    <t>02 41 13.42 0200</t>
  </si>
  <si>
    <t>4" PVC Storm Drain, SDR35</t>
  </si>
  <si>
    <t>Same Grouted rip-rap</t>
  </si>
  <si>
    <t>10" PVC Storm Drain, SDR35</t>
  </si>
  <si>
    <t>12" PVC Storm Drain, SDR35</t>
  </si>
  <si>
    <t>12" RCP - Class 3 Storm Drain with gaskets</t>
  </si>
  <si>
    <t>15" RCP - Class 3 Storm Drain with gaskets</t>
  </si>
  <si>
    <t>18" RCP - Class 3 Storm Drain with gaskets</t>
  </si>
  <si>
    <t>For depths over 8' deep, add</t>
  </si>
  <si>
    <t>VLF</t>
  </si>
  <si>
    <t>Concrete, Precast 4' deep</t>
  </si>
  <si>
    <t>Concrete, Cast-in-Place 4' deep</t>
  </si>
  <si>
    <t>Book Value</t>
  </si>
  <si>
    <t>32 32 23.13 7180, G2040-220</t>
  </si>
  <si>
    <t>Curved</t>
  </si>
  <si>
    <t>G2040-240-1000</t>
  </si>
  <si>
    <t>G2040-240-1200</t>
  </si>
  <si>
    <t>G2040-240-1400</t>
  </si>
  <si>
    <t>Rdwd. R/W, 8x8 &amp; deadman, 2' o.c., 9' high</t>
  </si>
  <si>
    <t>Same as 4" Sidewalk</t>
  </si>
  <si>
    <t>Rip-Rap</t>
  </si>
  <si>
    <t>32 16 13.33 0150</t>
  </si>
  <si>
    <t>Averaged Cost - 2 Tractors, Sheepsfoot, Watertruck</t>
  </si>
  <si>
    <t>3/8 to 1/4 CY pieces, Grouted</t>
  </si>
  <si>
    <t>18" minimum thickness, not grouted</t>
  </si>
  <si>
    <t>Earth Lined Ditch - 5' wide</t>
  </si>
  <si>
    <t>G2040-210-3400</t>
  </si>
  <si>
    <t>G2040-210-3600</t>
  </si>
  <si>
    <t>15" RCP - Class 3 Storm Drain end sections</t>
  </si>
  <si>
    <t>31 37 13.10 0110</t>
  </si>
  <si>
    <t>31 37 13.10 0200</t>
  </si>
  <si>
    <t>31 63 29.13 0900</t>
  </si>
  <si>
    <t>31 63 29.13 1000</t>
  </si>
  <si>
    <t>31 63 29.13 1100</t>
  </si>
  <si>
    <t>31 63 29.13 1200</t>
  </si>
  <si>
    <t>31 63 29.13 1340</t>
  </si>
  <si>
    <t>31 63 29.13 1360</t>
  </si>
  <si>
    <t>31 63 29.13 1380</t>
  </si>
  <si>
    <t>22 05 76.20 0280</t>
  </si>
  <si>
    <t>Hay Bales-Staking, Slope &gt;3:1 Slope</t>
  </si>
  <si>
    <t>Straw Waddles/Fiber Rolls</t>
  </si>
  <si>
    <t>Erosion Control Mat</t>
  </si>
  <si>
    <t>4" x 8" x 2-1/4" grouted</t>
  </si>
  <si>
    <t>Caisson, 30" diam., to 50' depth</t>
  </si>
  <si>
    <t>Grade Beam, 5 kip/LF</t>
  </si>
  <si>
    <t>Engineer's Estimate of</t>
  </si>
  <si>
    <t>36" CMP Storm Drain, Coated</t>
  </si>
  <si>
    <t>8" CMP Storm Drain End Section</t>
  </si>
  <si>
    <t>8" CMP Storm Drain, Coated</t>
  </si>
  <si>
    <t>24" CMP Storm Drain, Coated</t>
  </si>
  <si>
    <t>30" CMP Storm Drain, Coated</t>
  </si>
  <si>
    <t>32 11 23.23 0300</t>
  </si>
  <si>
    <t>5" Concrete, No Base, Broom Finish</t>
  </si>
  <si>
    <t>4" Concrete, No Base, Broom Finish</t>
  </si>
  <si>
    <t>G2040-240-5000</t>
  </si>
  <si>
    <t>0.75" - 11" Class 2 AB</t>
  </si>
  <si>
    <t xml:space="preserve"> LF </t>
  </si>
  <si>
    <t>Manhole, Frame, and Cover</t>
  </si>
  <si>
    <t>200 h.p. D'zr (cut), 130 h.p. D'zr (fill),150' haul</t>
  </si>
  <si>
    <t>24" Wide, Straight</t>
  </si>
  <si>
    <t>24" Wide, Radius</t>
  </si>
  <si>
    <t>30" Wide, Straight</t>
  </si>
  <si>
    <t>Segmental Block, 4" x 18" x 10", Small</t>
  </si>
  <si>
    <t>10" CMP Storm Drain End Section</t>
  </si>
  <si>
    <t>12" CMP Storm Drain End Section</t>
  </si>
  <si>
    <t xml:space="preserve">  15" CMP Storm Drain End Section</t>
  </si>
  <si>
    <t>18" CMP Storm Drain End Section</t>
  </si>
  <si>
    <t>Concrete Wall 10' High</t>
  </si>
  <si>
    <t>Interlocking Block Wall</t>
  </si>
  <si>
    <t>02 41 13.90 0400</t>
  </si>
  <si>
    <t>Equivalent to 1 day rental for tractor, compactor and excavator</t>
  </si>
  <si>
    <t>Rei. Conc., Cantilever, 10' high w/ sur.</t>
  </si>
  <si>
    <t>G2040-240-4600</t>
  </si>
  <si>
    <t>G2040-240-4800</t>
  </si>
  <si>
    <t>Import Material</t>
  </si>
  <si>
    <t>2" Wearing Coat</t>
  </si>
  <si>
    <t>3" Wearing Coat</t>
  </si>
  <si>
    <t>Curb &amp; Gutter, wood forms, (SC)</t>
  </si>
  <si>
    <t>Curb &amp; Gutter, mach. forms, (NC)</t>
  </si>
  <si>
    <t>Concrete, Cast-in-Place 8' deep</t>
  </si>
  <si>
    <t>8" HDPE Storm Drain</t>
  </si>
  <si>
    <t>10" HDPE Storm Drain</t>
  </si>
  <si>
    <t>G2040-210-3000</t>
  </si>
  <si>
    <t>G2040-210-3200</t>
  </si>
  <si>
    <t>18" HDPE Storm Drain</t>
  </si>
  <si>
    <t>24" HDPE Storm Drain</t>
  </si>
  <si>
    <t>350*1.33</t>
  </si>
  <si>
    <t>Concrete Lined Ditch</t>
  </si>
  <si>
    <t>Hydroseed</t>
  </si>
  <si>
    <t>Retaining Walls</t>
  </si>
  <si>
    <t>Rei. Conc., Cantilever, 20' high w/ sur.</t>
  </si>
  <si>
    <t>Plan Check &amp; Inspection Fee Basis</t>
  </si>
  <si>
    <t>G2040-240-1600</t>
  </si>
  <si>
    <t>G2040-240-1800</t>
  </si>
  <si>
    <t>G2040-240-2000</t>
  </si>
  <si>
    <t>G2040-240-2200</t>
  </si>
  <si>
    <t>G2040-240-3800</t>
  </si>
  <si>
    <t>G2040-240-4400</t>
  </si>
  <si>
    <t>Rei. Conc., Cantilever, 6' high w/ sur.</t>
  </si>
  <si>
    <t>0.75" - 3" Class 2 AB</t>
  </si>
  <si>
    <t>0.75" - 9" Class 2 AB</t>
  </si>
  <si>
    <t>Jute Netting</t>
  </si>
  <si>
    <t>SY</t>
  </si>
  <si>
    <t>Silt Fence</t>
  </si>
  <si>
    <t>LF</t>
  </si>
  <si>
    <t>Hay Bales</t>
  </si>
  <si>
    <t>36" HDPE Storm Drain</t>
  </si>
  <si>
    <t>Reinforcing, Add</t>
  </si>
  <si>
    <t>SF</t>
  </si>
  <si>
    <t>Saw Cutting</t>
  </si>
  <si>
    <t>Asphalt up to 3" deep</t>
  </si>
  <si>
    <t>AC</t>
  </si>
  <si>
    <t>P.T. R/W, 6x6 &amp; deadman, 3' o.c., 8' high</t>
  </si>
  <si>
    <t>G2040-220-1000</t>
  </si>
  <si>
    <t>G2040-220-1200</t>
  </si>
  <si>
    <t>G2040-220-1400</t>
  </si>
  <si>
    <t>G2040-220-1600</t>
  </si>
  <si>
    <t>G2040-220-1800</t>
  </si>
  <si>
    <t>G2040-220-1840</t>
  </si>
  <si>
    <t>G2040-220-2400</t>
  </si>
  <si>
    <t>G2040-220-2600</t>
  </si>
  <si>
    <t>G2040-220-2800</t>
  </si>
  <si>
    <t>Average the two values</t>
  </si>
  <si>
    <t>24" CMP Storm Drain End Section</t>
  </si>
  <si>
    <t>Pro Rata between 3" -6"</t>
  </si>
  <si>
    <t>Pro Rata between 6" -9"</t>
  </si>
  <si>
    <t>2.5" Wearing Coat</t>
  </si>
  <si>
    <t>Cost Rounded into Base Costs</t>
  </si>
  <si>
    <t>48" HDPE Storm Drain</t>
  </si>
  <si>
    <t>RS Means Code</t>
  </si>
  <si>
    <t>Rei. Conc., Cantilever, 16' high w/ sur.</t>
  </si>
  <si>
    <t>CMU, 8" thick 3'-4" high</t>
  </si>
  <si>
    <t>Soldier Beam, 23' to 35', 12"H</t>
  </si>
  <si>
    <t>Soldier Beam, 36' to 45', 14"H</t>
  </si>
  <si>
    <t>Tiebacks, add</t>
  </si>
  <si>
    <t>Dust Control, light</t>
  </si>
  <si>
    <t>Import/Export Trucking and Handling</t>
  </si>
  <si>
    <t>Rdwd. R/W, 8x8 &amp; deadman, 2' o.c., 10' high</t>
  </si>
  <si>
    <t>CMU, 8" thick 4'-0" high</t>
  </si>
  <si>
    <t>CMU, 10" thick 4'-0" high</t>
  </si>
  <si>
    <t>P.T. R/W, 4x4 post, 3' o.c., 4' high</t>
  </si>
  <si>
    <t>Brick, set in Mortar</t>
  </si>
  <si>
    <t>Brick, dry set</t>
  </si>
  <si>
    <t>Concrete, 4" thick plain</t>
  </si>
  <si>
    <t>Concrete Curb, 6x18, wood forms, (SC)</t>
  </si>
  <si>
    <t>Sidewalk Removal</t>
  </si>
  <si>
    <t>31 63 29.13 1400</t>
  </si>
  <si>
    <t>31 52 16.10 0400 &amp; 0500</t>
  </si>
  <si>
    <t>31 52 16.10 0700 &amp; 0800</t>
  </si>
  <si>
    <t>31 52 16.10 1000 &amp; 1100</t>
  </si>
  <si>
    <t>31 52 16.10 2500 &amp; 2550</t>
  </si>
  <si>
    <t>31 63 26.13 0110</t>
  </si>
  <si>
    <t>31 63 26.13 0200</t>
  </si>
  <si>
    <t>31 63 26.13 0300</t>
  </si>
  <si>
    <t>03 30 53.40 0300</t>
  </si>
  <si>
    <t>32 32 23.13 7140, G2040-220</t>
  </si>
  <si>
    <t>Concrete, Cast-in-Place 6' deep</t>
  </si>
  <si>
    <t>32 32 23.13 7160, G2040-220</t>
  </si>
  <si>
    <t>36" RCP - Class 3 Storm Drain with gaskets</t>
  </si>
  <si>
    <t>32 32 23.13 7200</t>
  </si>
  <si>
    <t>P.T. R/W, 4x4 post, 4' o.c., 3' high</t>
  </si>
  <si>
    <t>Dust Control</t>
  </si>
  <si>
    <t>Straight</t>
  </si>
  <si>
    <t>G2040-210-4200</t>
  </si>
  <si>
    <t>72" RCP - Class 3 Storm Drain with gaskets</t>
  </si>
  <si>
    <t>Averaged Cost - 2 Tractors, Watertruck</t>
  </si>
  <si>
    <t>Weighted Adjustment for San Jose, CA</t>
  </si>
  <si>
    <t>Small, 10" x 21"</t>
  </si>
  <si>
    <t>Manhole Raising</t>
  </si>
  <si>
    <t>Heavy Duty Frame and Cover</t>
  </si>
  <si>
    <t>Sidewalk</t>
  </si>
  <si>
    <t>32 16 13.13 0435</t>
  </si>
  <si>
    <t>32 16 13.13 0445</t>
  </si>
  <si>
    <t>32 16 13.13 0446</t>
  </si>
  <si>
    <t>32 16 13.13 0447</t>
  </si>
  <si>
    <t>Hay Bales-Staking, Slope &lt;3:1 Slope</t>
  </si>
  <si>
    <t>12" RCP - Class 3 Storm Drain end sections</t>
  </si>
  <si>
    <t>32 12 16.13 0340</t>
  </si>
  <si>
    <t>32 12 16.13 0380</t>
  </si>
  <si>
    <t>32 12 16.13 0420</t>
  </si>
  <si>
    <t>32 12 16.13 0460</t>
  </si>
  <si>
    <t>1.5" Wearing Coat</t>
  </si>
  <si>
    <t>Segmental Block, Cap Unit</t>
  </si>
  <si>
    <t>Soldier Beam, 15' to 22', 10"H</t>
  </si>
  <si>
    <t>CMU, 12" thick 5'-4" high</t>
  </si>
  <si>
    <t>CMU, 12" thick 6'-0" high</t>
  </si>
  <si>
    <t>CMU, 12" thick 6'-8" high</t>
  </si>
  <si>
    <t>Rdwd. R/W, 6x6 &amp; deadman, 3' o.c., 8' high</t>
  </si>
  <si>
    <t>10" CMP Storm Drain, Coated</t>
  </si>
  <si>
    <t>Same as Fine Grading for Paving</t>
  </si>
  <si>
    <t>15" PVC Storm Drain, SDR35</t>
  </si>
  <si>
    <t>Storm Drain, including Trench &amp; Backfill</t>
  </si>
  <si>
    <t>0.75" - 10" Class 2 AB</t>
  </si>
  <si>
    <t>33 31 13.25 2080</t>
  </si>
  <si>
    <t>33 31 13.25 2120</t>
  </si>
  <si>
    <t>33 31 13.25 2160</t>
  </si>
  <si>
    <t>33 31 13.25 2200</t>
  </si>
  <si>
    <t>33 41 13.40 2040</t>
  </si>
  <si>
    <t>33 41 13.40 2060</t>
  </si>
  <si>
    <t>33 41 13.40 2080</t>
  </si>
  <si>
    <t>33 41 13.40 2100</t>
  </si>
  <si>
    <t>33 41 13.40 2120</t>
  </si>
  <si>
    <t>33 41 13.40 2140</t>
  </si>
  <si>
    <t>33 41 13.40 2160</t>
  </si>
  <si>
    <t>33 41 13.40 2180</t>
  </si>
  <si>
    <t>24" RCP - Class 3 Storm Drain with gaskets</t>
  </si>
  <si>
    <t>30" RCP - Class 3 Storm Drain with gaskets</t>
  </si>
  <si>
    <t>18" RCP - Class 3 Storm Drain end sections</t>
  </si>
  <si>
    <t>1" Wearing Coat</t>
  </si>
  <si>
    <t>Segmental Block, 8" x 18" x 12", Medium</t>
  </si>
  <si>
    <t>0.75" - 8" Class 2 AB</t>
  </si>
  <si>
    <t xml:space="preserve"> </t>
  </si>
  <si>
    <t>Bedding Asphalt</t>
  </si>
  <si>
    <t>Bedding Sand</t>
  </si>
  <si>
    <t>Drop Inlet, CIP, 4'x4', 8" thick</t>
  </si>
  <si>
    <t>4' Deep</t>
  </si>
  <si>
    <t>6' Deep</t>
  </si>
  <si>
    <t>8' Deep</t>
  </si>
  <si>
    <t>Depths &gt; 8', add</t>
  </si>
  <si>
    <t>0.75" - 5" Class 2 AB</t>
  </si>
  <si>
    <t>30" HDPE Storm Drain</t>
  </si>
  <si>
    <t>42" HDPE Storm Drain</t>
  </si>
  <si>
    <t>CMU, 8" thick 6'-0" high</t>
  </si>
  <si>
    <t>Units</t>
  </si>
  <si>
    <t>Base</t>
  </si>
  <si>
    <t>Unit</t>
  </si>
  <si>
    <t>Cost</t>
  </si>
  <si>
    <t>P.T. R/W, 6x6 post, 3' o.c., 6' high</t>
  </si>
  <si>
    <t>Slopes</t>
  </si>
  <si>
    <t>Paving</t>
  </si>
  <si>
    <t>Piles</t>
  </si>
  <si>
    <t>Cast-in-place Friction Pile, no reinforcing</t>
  </si>
  <si>
    <t>12" Diameter</t>
  </si>
  <si>
    <t>14" Diameter</t>
  </si>
  <si>
    <t>6" HDPE Storm Drain</t>
  </si>
  <si>
    <t>Daily Rate/ Yardage that 8 trucks move in 1 day</t>
  </si>
  <si>
    <t>12" HDPE Storm Drain</t>
  </si>
  <si>
    <t xml:space="preserve">  15" HDPE Storm Drain</t>
  </si>
  <si>
    <t>AC Dike machine formed, 8" wide, 6" high</t>
  </si>
  <si>
    <t>CMU, 8" thick 5'-4" high</t>
  </si>
  <si>
    <t>Fine Grading</t>
  </si>
  <si>
    <t>33 41 13.40 2280</t>
  </si>
  <si>
    <t>33 41 13.40 2285</t>
  </si>
  <si>
    <t>33 41 13.40 2290</t>
  </si>
  <si>
    <t>33 41 13.40 2292</t>
  </si>
  <si>
    <t>33 41 13.40 2294</t>
  </si>
  <si>
    <t>4" HDPE Storm Drain</t>
  </si>
  <si>
    <t>33 41 13.50 1000</t>
  </si>
  <si>
    <t>33 41 13.50 1010</t>
  </si>
  <si>
    <t>Combined Cut &amp; Fill On-Site</t>
  </si>
  <si>
    <t>0.75" - 6" Class 2 AB</t>
  </si>
  <si>
    <t>33 41 13.50 1060</t>
  </si>
  <si>
    <t>33 41 13.50 1070</t>
  </si>
  <si>
    <t>33 41 13.50 1080</t>
  </si>
  <si>
    <t>33 41 13.50 1090</t>
  </si>
  <si>
    <t>0.75" - 12" Class 2 AB</t>
  </si>
  <si>
    <t>G2040-220-1900</t>
  </si>
  <si>
    <t>G2040-220-1920</t>
  </si>
  <si>
    <t>Redwood R/W, 4x4 post, 4' o.c., 3' high</t>
  </si>
  <si>
    <t>Redwood R/W, 4x4 post, 2' o.c., 4' high</t>
  </si>
  <si>
    <t>Redwood R/W, 6x6 post, 4' o.c., 5' high</t>
  </si>
  <si>
    <t>Concrete Curb, 6x18, mach. forms, (NC)</t>
  </si>
  <si>
    <t>Straight + 35%</t>
  </si>
  <si>
    <t>G2040-220-1940</t>
  </si>
  <si>
    <t>G2040-220-2000</t>
  </si>
  <si>
    <t>G2040-220-2200</t>
  </si>
  <si>
    <t>33 41 13.60 2230</t>
  </si>
  <si>
    <t>33 41 13.60 2240</t>
  </si>
  <si>
    <t>33 41 13.60 2260</t>
  </si>
  <si>
    <t>33 41 13.60 2270</t>
  </si>
  <si>
    <t>33 41 13.60 2290</t>
  </si>
  <si>
    <t>33 41 13.60 2310</t>
  </si>
  <si>
    <t>33 41 13.60 2330</t>
  </si>
  <si>
    <t>30" CMP Storm Drain End Section</t>
  </si>
  <si>
    <t>Notes</t>
  </si>
  <si>
    <t>72" CMP Storm Drain End Section</t>
  </si>
  <si>
    <t>EA</t>
  </si>
  <si>
    <t>33 49 13.10 0900</t>
  </si>
  <si>
    <t>33 49 13.10 1000</t>
  </si>
  <si>
    <t>33 49 13.10 1100</t>
  </si>
  <si>
    <t>33 49 13.10 1110</t>
  </si>
  <si>
    <t>33 49 13.10 1120</t>
  </si>
  <si>
    <t>33 49 13.10 1130</t>
  </si>
  <si>
    <t>33 49 13.10 1140</t>
  </si>
  <si>
    <t>33 44 13.13 3300</t>
  </si>
  <si>
    <t>33 44 13.13 1582</t>
  </si>
  <si>
    <t>33 44 13.13 1590</t>
  </si>
  <si>
    <t>33 44 13.13 2100</t>
  </si>
  <si>
    <t>22 14 26.19 6000</t>
  </si>
  <si>
    <t>Caisson, 18" diam., to 50' depth</t>
  </si>
  <si>
    <t>Caisson, 24" diam., to 50' depth</t>
  </si>
  <si>
    <t>Probable Construction Cost</t>
  </si>
  <si>
    <t>Item</t>
  </si>
  <si>
    <t>No.</t>
  </si>
  <si>
    <t>Description</t>
  </si>
  <si>
    <t>48" CMP Storm Drain, Coated</t>
  </si>
  <si>
    <t>02 41 13.33 4050</t>
  </si>
  <si>
    <t>02 41 13.33 4060</t>
  </si>
  <si>
    <t>02 41 13.33 4100</t>
  </si>
  <si>
    <t>02 41 13.33 4200</t>
  </si>
  <si>
    <t>02 41 13.17 5010</t>
  </si>
  <si>
    <t>02 41 13.17 5050</t>
  </si>
  <si>
    <t>02 41 13.17 6000</t>
  </si>
  <si>
    <t>02 41 13.17 6100</t>
  </si>
  <si>
    <t>CMU, 12" thick 7'-4" high</t>
  </si>
  <si>
    <t>P.T. R/W, 4x4 &amp; deadman, 2' o.c., 5' high</t>
  </si>
  <si>
    <t>P.T. R/W, 6x6 post, 2' o.c., 7' high</t>
  </si>
  <si>
    <t>CMU, 10" thick 6'-8" high</t>
  </si>
  <si>
    <t>CMU, 10" thick 7'-4" high</t>
  </si>
  <si>
    <t>G2040-210-3800</t>
  </si>
  <si>
    <t>CMU, 8" thick 4'-8" high</t>
  </si>
  <si>
    <t>Curb Inlet, frame &amp; grate</t>
  </si>
  <si>
    <t>31 22 16.10 3310</t>
  </si>
  <si>
    <t>31 22 16.10 1020, 31 22 16.10 1050</t>
  </si>
  <si>
    <t>31 23 23.23 9000</t>
  </si>
  <si>
    <t>48" RCP - Class 3 Storm Drain with gaskets</t>
  </si>
  <si>
    <t>32 16 13.13 0300</t>
  </si>
  <si>
    <t>0.75" - 4" Class 2 AB</t>
  </si>
  <si>
    <t>Concrete, Precast 6' deep</t>
  </si>
  <si>
    <t>Concrete, Precast 8' deep</t>
  </si>
  <si>
    <t>32 16 13.13 0416</t>
  </si>
  <si>
    <t>32 16 13.13 0430</t>
  </si>
  <si>
    <t>Concrete 6" thick</t>
  </si>
  <si>
    <t>02 41 13.17 5200</t>
  </si>
  <si>
    <t>Utility Removal</t>
  </si>
  <si>
    <t>Concrete pipe 4"-10"</t>
  </si>
  <si>
    <t>Ductile Iron Pipe 6"-12"</t>
  </si>
  <si>
    <t>Plastic Pipe  6"-8"</t>
  </si>
  <si>
    <t>Water &amp; Sewer</t>
  </si>
  <si>
    <t>Copper pipe 4"-6"</t>
  </si>
  <si>
    <t>32 16 13.13 0448</t>
  </si>
  <si>
    <t>32 12 16.13 0300</t>
  </si>
  <si>
    <t>Cast Iron Pipe 5"-6"</t>
  </si>
  <si>
    <t>32 14 16.10 0300</t>
  </si>
  <si>
    <t>32 14 16.10 0200</t>
  </si>
  <si>
    <t>32 14 16.10 0500</t>
  </si>
  <si>
    <t>32 14 16.10 0540</t>
  </si>
  <si>
    <t>32 11 23.23 0050</t>
  </si>
  <si>
    <t>32 11 23.23 0100</t>
  </si>
  <si>
    <t>32 11 23.23 0200</t>
  </si>
  <si>
    <t>CMU, 12" thick 8'-0" high</t>
  </si>
  <si>
    <t xml:space="preserve">  15" CMP Storm Drain, Coated</t>
  </si>
  <si>
    <t>12" CMP Storm Drain, Coated</t>
  </si>
  <si>
    <t>Electric Ducts</t>
  </si>
  <si>
    <t>Steel Pipe 5-10"</t>
  </si>
  <si>
    <t>Plastic conduit 2 @ 2" Dia.</t>
  </si>
  <si>
    <t>02 41 13.51 0200</t>
  </si>
  <si>
    <t>02 41 13.56 0400</t>
  </si>
  <si>
    <t>Retaining Wall Removal</t>
  </si>
  <si>
    <t>32 06 10.10 0020</t>
  </si>
  <si>
    <t>32 06 10.10 0100</t>
  </si>
  <si>
    <t>32 06 10.10 0310</t>
  </si>
  <si>
    <t>Concrete Pavers</t>
  </si>
  <si>
    <t>6" Concrete, No Base, Broom Finish</t>
  </si>
  <si>
    <t>Granite Curb, 6x18</t>
  </si>
  <si>
    <t>4" x 8" x 2-1/4" without joints</t>
  </si>
  <si>
    <t>24" RCP - Class 3 Storm Drain end sections</t>
  </si>
  <si>
    <t>18" CMP Storm Drain, Coated</t>
  </si>
  <si>
    <t>Concrete slabs, mesh reinforcing, up to 3" deep</t>
  </si>
  <si>
    <t>02 41 19.25 0015</t>
  </si>
  <si>
    <t>02 41 19.25 0020</t>
  </si>
  <si>
    <t>02 41 13.33 4000</t>
  </si>
  <si>
    <t>Timber Railroad Ties</t>
  </si>
  <si>
    <t xml:space="preserve">Heavy Duty, 7" x 9" x 8'-6" </t>
  </si>
  <si>
    <t xml:space="preserve">Pressure Treated, 6" x 8" x 8'-6" </t>
  </si>
  <si>
    <t>33 41 13.40 2200</t>
  </si>
  <si>
    <t>33 41 13.40 2220</t>
  </si>
  <si>
    <t>33 41 13.40 2240</t>
  </si>
  <si>
    <t>33 41 13.40 2250</t>
  </si>
  <si>
    <t>33 41 13.40 2255</t>
  </si>
  <si>
    <t>33 41 13.40 2260</t>
  </si>
  <si>
    <t>33 41 13.40 2265</t>
  </si>
  <si>
    <t>0.75" - 7" Class 2 AB</t>
  </si>
  <si>
    <t>02 41 13.17 6200</t>
  </si>
  <si>
    <t>02 41 13.17 6300</t>
  </si>
  <si>
    <t>02 41 13.17 6400</t>
  </si>
  <si>
    <t>31 11 10.10 0160</t>
  </si>
  <si>
    <t>31 11 10.10 7120</t>
  </si>
  <si>
    <t>31 11 10.10 7160</t>
  </si>
  <si>
    <t>31 11 10.10 7240</t>
  </si>
  <si>
    <t>Drop Inlet, Precast, 4'x4', 8" thick</t>
  </si>
  <si>
    <t>Area Drain, 3"-6"</t>
  </si>
  <si>
    <t>Trench Drain-12' Section</t>
  </si>
  <si>
    <t>Clean-out, 6"</t>
  </si>
  <si>
    <t>CMU, 10" thick 4'-8" high</t>
  </si>
  <si>
    <t>CMU, 10" thick 5'-4" high</t>
  </si>
  <si>
    <t>CMU, 10" thick 6'-0" high</t>
  </si>
  <si>
    <t>Tree Removal</t>
  </si>
  <si>
    <t>18" diameter</t>
  </si>
  <si>
    <t>24" diameter</t>
  </si>
  <si>
    <t>36" diameter</t>
  </si>
  <si>
    <t>32 16 13.13 0400</t>
  </si>
  <si>
    <t>32 16 13.13 0415</t>
  </si>
  <si>
    <t>Plan Check &amp; Insp. Fee Basis Calculation</t>
  </si>
  <si>
    <t>03 81 13.50 0400</t>
  </si>
  <si>
    <t>03 81 13.50 0420</t>
  </si>
  <si>
    <t>20 CY truck, 20 min wait/Ld/Unld, 15 MPH, cycle 8 miles</t>
  </si>
  <si>
    <t>31 23 23.20 4224</t>
  </si>
  <si>
    <t>31 23 23.20 2500</t>
  </si>
  <si>
    <t>AC berm 12"W, 3"-6"</t>
  </si>
  <si>
    <t>Segmental Block, 8" x 18" x 20", Large</t>
  </si>
  <si>
    <t>33 41 13.40 2270</t>
  </si>
  <si>
    <t>33 41 13.40 2275</t>
  </si>
  <si>
    <t>02 41 13.38 0090</t>
  </si>
  <si>
    <t>02 41 13.38 1100</t>
  </si>
  <si>
    <t>02 41 13.38 1700</t>
  </si>
  <si>
    <t>02 41 13.38 2500</t>
  </si>
  <si>
    <t>02 41 13.38 2800</t>
  </si>
  <si>
    <t>106*1.33</t>
  </si>
  <si>
    <t>33 41 13.50 1020</t>
  </si>
  <si>
    <t>33 41 13.50 1030</t>
  </si>
  <si>
    <t>33 41 13.50 1040</t>
  </si>
  <si>
    <t>33 41 13.50 1050</t>
  </si>
  <si>
    <t>Storm Drainage</t>
  </si>
  <si>
    <t>02 41 13.40 0150</t>
  </si>
  <si>
    <t>Gas Line</t>
  </si>
  <si>
    <t>33 41 13.50 1100</t>
  </si>
  <si>
    <t>33 41 13.50 1110</t>
  </si>
  <si>
    <t>33 41 13.50 1120</t>
  </si>
  <si>
    <t>33 41 13.50 1130</t>
  </si>
  <si>
    <t>33 41 13.60 2200</t>
  </si>
  <si>
    <t>33 41 13.60 2220</t>
  </si>
  <si>
    <t>32 06 10.10 0350</t>
  </si>
  <si>
    <t>32 06 10.10 0400</t>
  </si>
  <si>
    <t>33 31 13.25 2000</t>
  </si>
  <si>
    <t>33 31 13.25 2040</t>
  </si>
  <si>
    <t>32 92 19.14 2400</t>
  </si>
  <si>
    <t>Water Wagon, 3,000 Gal, 3 mi. Haul</t>
  </si>
  <si>
    <t>Averaged Cost- Large Parking Lot and Small Irregular Areas</t>
  </si>
  <si>
    <t>Clear &amp; Grub</t>
  </si>
  <si>
    <t>33 41 13.60 2340</t>
  </si>
  <si>
    <t>33 41 13.60 2400</t>
  </si>
  <si>
    <t>33 41 13.60 2420</t>
  </si>
  <si>
    <t>33 41 13.60 2440</t>
  </si>
  <si>
    <t>33 49 13.10 0800</t>
  </si>
  <si>
    <t>12" diameter</t>
  </si>
  <si>
    <t>31 11 10.10 7080</t>
  </si>
  <si>
    <t>48" diameter</t>
  </si>
  <si>
    <t>31 11 10.10 7280</t>
  </si>
  <si>
    <t>34 11 33.16 1900</t>
  </si>
  <si>
    <t>34 11 33.16 1600</t>
  </si>
  <si>
    <t>31 25 14.16 0300</t>
  </si>
  <si>
    <t>((10.90/4)+4.65+1.32) for footing and drainage</t>
  </si>
  <si>
    <t>Ave. of 17.4+24+14+25+Water Truck+ Dirt from above</t>
  </si>
  <si>
    <t>01 54 33 4110, 01 54 33 1200, 01 54 33 0100</t>
  </si>
  <si>
    <t>10.55+(780*60 Lb./(4 Ft.*2000)); 31 25 13.10 1250 &amp; 31 25 13.10 1200 in 2010 book</t>
  </si>
  <si>
    <t>Page 799, City Cost Indexes</t>
  </si>
  <si>
    <t>Asphalt, 2" thick</t>
  </si>
  <si>
    <t>2.42/10, 10 working days per job control</t>
  </si>
  <si>
    <t>32 16 13.33 0012</t>
  </si>
  <si>
    <t>Precast Slab Top, 4' dia.</t>
  </si>
  <si>
    <t>33 49 13.10 1300</t>
  </si>
  <si>
    <t>32 32 23.13 7250</t>
  </si>
  <si>
    <t>Soil Nailing</t>
  </si>
  <si>
    <t>Drill Hole, Install #8 Nail, grout 20' depth ave.</t>
  </si>
  <si>
    <t>31  32 36.16 0100</t>
  </si>
  <si>
    <t>8" Thick Gunite w/#4 @ 6" o.c ea. Way</t>
  </si>
  <si>
    <t>03 37 13.30 0150 &amp; 0500</t>
  </si>
  <si>
    <t xml:space="preserve">double material for 8" </t>
  </si>
  <si>
    <r>
      <t xml:space="preserve">Plan Check Fee  =  0.8284 · ((500·(VALUE+7,500)) </t>
    </r>
    <r>
      <rPr>
        <b/>
        <vertAlign val="superscript"/>
        <sz val="12"/>
        <rFont val="Arial"/>
        <family val="2"/>
      </rPr>
      <t xml:space="preserve">1/2 </t>
    </r>
    <r>
      <rPr>
        <b/>
        <sz val="12"/>
        <rFont val="Arial"/>
        <family val="2"/>
      </rPr>
      <t>+ $2,000)</t>
    </r>
  </si>
  <si>
    <r>
      <t xml:space="preserve">Inspection Fee  =  0.7775 · ((188·(VALUE+7,500)) </t>
    </r>
    <r>
      <rPr>
        <b/>
        <vertAlign val="superscript"/>
        <sz val="12"/>
        <rFont val="Arial"/>
        <family val="2"/>
      </rPr>
      <t>1/2</t>
    </r>
    <r>
      <rPr>
        <b/>
        <sz val="12"/>
        <rFont val="Arial"/>
        <family val="2"/>
      </rPr>
      <t xml:space="preserve"> + $645)</t>
    </r>
  </si>
  <si>
    <t>IT Fee</t>
  </si>
  <si>
    <t>Landscape Bond Estimate</t>
  </si>
  <si>
    <t>R&amp;A Bond Estimate</t>
  </si>
  <si>
    <t>TOTAL BOND ESTIMATE</t>
  </si>
  <si>
    <t xml:space="preserve">% Value of Performance Bond </t>
  </si>
  <si>
    <t>USE For Plan Check and Inspection Fee</t>
  </si>
  <si>
    <t>Use for Bond</t>
  </si>
  <si>
    <t>Frame &amp; grate, C.I., 24" square, 500 lb</t>
  </si>
  <si>
    <t>33 44 13.13 1600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</si>
</sst>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>
    <font>
      <sz val="10"/>
      <name val="Arial"/>
    </font>
    <font>
      <sz val="9"/>
      <name val="Geneva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3" fontId="7" fillId="0" borderId="0" xfId="1" applyFont="1"/>
    <xf numFmtId="43" fontId="5" fillId="0" borderId="0" xfId="1" applyFont="1"/>
    <xf numFmtId="0" fontId="8" fillId="0" borderId="0" xfId="0" applyFont="1"/>
    <xf numFmtId="43" fontId="8" fillId="0" borderId="0" xfId="1" applyFont="1"/>
    <xf numFmtId="43" fontId="8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5" fontId="8" fillId="0" borderId="0" xfId="2" applyNumberFormat="1" applyFont="1"/>
    <xf numFmtId="164" fontId="8" fillId="0" borderId="0" xfId="1" applyNumberFormat="1" applyFont="1"/>
    <xf numFmtId="0" fontId="9" fillId="0" borderId="0" xfId="0" applyFont="1" applyAlignment="1">
      <alignment horizontal="center"/>
    </xf>
    <xf numFmtId="43" fontId="8" fillId="0" borderId="0" xfId="1" applyNumberFormat="1" applyFont="1"/>
    <xf numFmtId="0" fontId="10" fillId="0" borderId="0" xfId="0" applyFont="1" applyAlignment="1">
      <alignment horizontal="right"/>
    </xf>
    <xf numFmtId="164" fontId="8" fillId="0" borderId="0" xfId="1" applyNumberFormat="1" applyFont="1" applyBorder="1"/>
    <xf numFmtId="164" fontId="8" fillId="0" borderId="0" xfId="1" applyNumberFormat="1" applyFont="1" applyFill="1" applyBorder="1"/>
    <xf numFmtId="0" fontId="10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165" fontId="5" fillId="0" borderId="0" xfId="2" applyNumberFormat="1" applyFont="1"/>
    <xf numFmtId="164" fontId="5" fillId="0" borderId="0" xfId="1" applyNumberFormat="1" applyFont="1"/>
    <xf numFmtId="43" fontId="5" fillId="0" borderId="0" xfId="1" applyNumberFormat="1" applyFont="1"/>
    <xf numFmtId="164" fontId="5" fillId="0" borderId="0" xfId="1" applyNumberFormat="1" applyFont="1" applyBorder="1"/>
    <xf numFmtId="0" fontId="12" fillId="0" borderId="0" xfId="0" applyFont="1"/>
    <xf numFmtId="164" fontId="5" fillId="0" borderId="0" xfId="1" applyNumberFormat="1" applyFont="1" applyFill="1" applyBorder="1"/>
    <xf numFmtId="164" fontId="5" fillId="2" borderId="0" xfId="1" applyNumberFormat="1" applyFont="1" applyFill="1" applyBorder="1"/>
    <xf numFmtId="43" fontId="5" fillId="0" borderId="0" xfId="0" applyNumberFormat="1" applyFont="1"/>
    <xf numFmtId="43" fontId="6" fillId="0" borderId="0" xfId="1" applyFont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4" fontId="5" fillId="0" borderId="0" xfId="1" applyNumberFormat="1" applyFont="1" applyFill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5" fillId="0" borderId="0" xfId="0" applyFont="1" applyFill="1"/>
    <xf numFmtId="0" fontId="2" fillId="0" borderId="0" xfId="0" applyFont="1" applyAlignment="1">
      <alignment horizontal="center"/>
    </xf>
    <xf numFmtId="164" fontId="5" fillId="0" borderId="0" xfId="0" applyNumberFormat="1" applyFont="1" applyFill="1"/>
    <xf numFmtId="9" fontId="5" fillId="0" borderId="0" xfId="2" applyFont="1" applyFill="1"/>
    <xf numFmtId="0" fontId="4" fillId="0" borderId="0" xfId="0" applyFont="1"/>
    <xf numFmtId="43" fontId="4" fillId="0" borderId="0" xfId="1" applyFont="1"/>
    <xf numFmtId="43" fontId="4" fillId="0" borderId="0" xfId="1" applyFont="1" applyAlignment="1">
      <alignment horizontal="center"/>
    </xf>
    <xf numFmtId="164" fontId="3" fillId="0" borderId="2" xfId="1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 applyBorder="1"/>
    <xf numFmtId="43" fontId="3" fillId="0" borderId="0" xfId="1" applyFont="1"/>
    <xf numFmtId="43" fontId="3" fillId="0" borderId="0" xfId="1" applyFont="1" applyAlignment="1">
      <alignment horizontal="center"/>
    </xf>
    <xf numFmtId="43" fontId="4" fillId="0" borderId="0" xfId="1" applyFont="1" applyAlignment="1">
      <alignment horizontal="right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8" fillId="0" borderId="0" xfId="1" applyFont="1" applyFill="1"/>
    <xf numFmtId="43" fontId="8" fillId="0" borderId="0" xfId="1" applyFont="1" applyFill="1" applyAlignment="1">
      <alignment horizontal="center"/>
    </xf>
    <xf numFmtId="164" fontId="8" fillId="0" borderId="0" xfId="1" applyNumberFormat="1" applyFont="1" applyFill="1"/>
    <xf numFmtId="0" fontId="5" fillId="0" borderId="0" xfId="0" applyFont="1" applyFill="1" applyAlignment="1">
      <alignment horizontal="left"/>
    </xf>
    <xf numFmtId="164" fontId="8" fillId="0" borderId="0" xfId="1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43" fontId="8" fillId="0" borderId="0" xfId="1" applyNumberFormat="1" applyFont="1" applyFill="1"/>
    <xf numFmtId="43" fontId="5" fillId="0" borderId="0" xfId="1" applyNumberFormat="1" applyFont="1" applyFill="1"/>
    <xf numFmtId="0" fontId="0" fillId="0" borderId="0" xfId="0" applyAlignment="1">
      <alignment horizontal="center"/>
    </xf>
    <xf numFmtId="165" fontId="5" fillId="0" borderId="0" xfId="2" applyNumberFormat="1" applyFont="1" applyFill="1"/>
    <xf numFmtId="0" fontId="2" fillId="0" borderId="0" xfId="0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8" fillId="0" borderId="0" xfId="0" applyNumberFormat="1" applyFont="1" applyFill="1"/>
    <xf numFmtId="43" fontId="8" fillId="0" borderId="0" xfId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43" fontId="5" fillId="0" borderId="0" xfId="1" applyFont="1" applyFill="1" applyBorder="1"/>
    <xf numFmtId="43" fontId="5" fillId="0" borderId="0" xfId="1" applyFont="1" applyFill="1" applyBorder="1" applyAlignment="1">
      <alignment horizontal="center"/>
    </xf>
    <xf numFmtId="43" fontId="5" fillId="0" borderId="0" xfId="1" applyNumberFormat="1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9" fontId="5" fillId="0" borderId="0" xfId="2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43" fontId="5" fillId="0" borderId="0" xfId="0" applyNumberFormat="1" applyFont="1" applyFill="1"/>
    <xf numFmtId="0" fontId="5" fillId="0" borderId="0" xfId="0" applyFont="1" applyBorder="1"/>
    <xf numFmtId="43" fontId="8" fillId="0" borderId="0" xfId="1" applyFont="1" applyBorder="1"/>
    <xf numFmtId="0" fontId="8" fillId="0" borderId="0" xfId="0" applyFont="1" applyBorder="1"/>
    <xf numFmtId="164" fontId="3" fillId="0" borderId="0" xfId="1" applyNumberFormat="1" applyFont="1"/>
    <xf numFmtId="0" fontId="5" fillId="0" borderId="0" xfId="0" applyFont="1" applyFill="1" applyBorder="1"/>
    <xf numFmtId="43" fontId="8" fillId="0" borderId="0" xfId="1" applyFont="1" applyFill="1" applyBorder="1"/>
    <xf numFmtId="0" fontId="0" fillId="0" borderId="0" xfId="0" applyFont="1" applyAlignment="1">
      <alignment horizontal="center"/>
    </xf>
    <xf numFmtId="0" fontId="0" fillId="0" borderId="0" xfId="0" applyFont="1"/>
    <xf numFmtId="43" fontId="0" fillId="0" borderId="0" xfId="1" applyNumberFormat="1" applyFont="1" applyFill="1" applyBorder="1"/>
    <xf numFmtId="43" fontId="0" fillId="0" borderId="0" xfId="1" applyFont="1"/>
    <xf numFmtId="43" fontId="0" fillId="0" borderId="0" xfId="1" applyNumberFormat="1" applyFont="1"/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43" fontId="14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1" applyNumberFormat="1" applyFont="1"/>
    <xf numFmtId="43" fontId="14" fillId="0" borderId="0" xfId="1" applyFont="1"/>
    <xf numFmtId="0" fontId="16" fillId="0" borderId="0" xfId="0" applyFont="1" applyAlignment="1">
      <alignment horizontal="center"/>
    </xf>
    <xf numFmtId="0" fontId="14" fillId="0" borderId="0" xfId="0" applyFont="1"/>
    <xf numFmtId="0" fontId="17" fillId="0" borderId="0" xfId="0" applyFont="1"/>
    <xf numFmtId="164" fontId="17" fillId="0" borderId="0" xfId="1" applyNumberFormat="1" applyFont="1"/>
    <xf numFmtId="9" fontId="3" fillId="0" borderId="0" xfId="1" applyNumberFormat="1" applyFont="1"/>
    <xf numFmtId="43" fontId="3" fillId="0" borderId="2" xfId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"/>
  <sheetViews>
    <sheetView tabSelected="1" zoomScaleNormal="100" zoomScalePageLayoutView="150" workbookViewId="0">
      <selection activeCell="E10" sqref="E10"/>
    </sheetView>
  </sheetViews>
  <sheetFormatPr defaultColWidth="10.88671875" defaultRowHeight="13.2"/>
  <cols>
    <col min="1" max="1" width="7.88671875" style="6" customWidth="1"/>
    <col min="2" max="2" width="38.88671875" style="6" customWidth="1"/>
    <col min="3" max="3" width="8.88671875" style="7" customWidth="1"/>
    <col min="4" max="4" width="8.88671875" style="8" customWidth="1"/>
    <col min="5" max="5" width="9.88671875" style="7" customWidth="1"/>
    <col min="6" max="6" width="15.88671875" style="7" customWidth="1"/>
    <col min="7" max="7" width="48.88671875" style="9" customWidth="1"/>
    <col min="8" max="8" width="50.44140625" style="6" bestFit="1" customWidth="1"/>
    <col min="9" max="9" width="20.88671875" style="6" customWidth="1"/>
    <col min="10" max="16384" width="10.88671875" style="6"/>
  </cols>
  <sheetData>
    <row r="1" spans="1:8" s="19" customFormat="1">
      <c r="A1" s="19" t="s">
        <v>171</v>
      </c>
      <c r="C1" s="5"/>
      <c r="D1" s="20"/>
      <c r="E1" s="5"/>
      <c r="F1" s="5"/>
      <c r="G1" s="21"/>
    </row>
    <row r="2" spans="1:8" s="19" customFormat="1">
      <c r="A2" s="19" t="s">
        <v>417</v>
      </c>
      <c r="C2" s="5"/>
      <c r="D2" s="20"/>
      <c r="E2" s="5"/>
      <c r="F2" s="5"/>
      <c r="G2" s="21"/>
    </row>
    <row r="3" spans="1:8" s="19" customFormat="1">
      <c r="C3" s="5"/>
      <c r="D3" s="20"/>
      <c r="E3" s="5"/>
      <c r="F3" s="20"/>
      <c r="G3" s="21"/>
    </row>
    <row r="4" spans="1:8" s="21" customFormat="1">
      <c r="A4" s="21" t="s">
        <v>418</v>
      </c>
      <c r="B4" s="21" t="s">
        <v>420</v>
      </c>
      <c r="C4" s="20" t="s">
        <v>350</v>
      </c>
      <c r="D4" s="20" t="s">
        <v>349</v>
      </c>
      <c r="E4" s="20" t="s">
        <v>351</v>
      </c>
      <c r="F4" s="20" t="s">
        <v>11</v>
      </c>
      <c r="G4" s="21" t="s">
        <v>255</v>
      </c>
      <c r="H4" s="21" t="s">
        <v>400</v>
      </c>
    </row>
    <row r="5" spans="1:8" s="22" customFormat="1" ht="13.8" thickBot="1">
      <c r="A5" s="22" t="s">
        <v>419</v>
      </c>
      <c r="C5" s="23" t="s">
        <v>349</v>
      </c>
      <c r="D5" s="23"/>
      <c r="E5" s="23" t="s">
        <v>352</v>
      </c>
      <c r="F5" s="23"/>
    </row>
    <row r="6" spans="1:8" s="19" customFormat="1">
      <c r="A6" s="21"/>
      <c r="B6" s="2" t="s">
        <v>292</v>
      </c>
      <c r="C6" s="65">
        <v>0.16300000000000001</v>
      </c>
      <c r="D6" s="20"/>
      <c r="E6" s="5"/>
      <c r="F6" s="25"/>
      <c r="G6" s="91" t="s">
        <v>572</v>
      </c>
      <c r="H6" s="19" t="s">
        <v>253</v>
      </c>
    </row>
    <row r="7" spans="1:8">
      <c r="A7" s="9"/>
      <c r="B7" s="10"/>
      <c r="C7" s="11"/>
      <c r="F7" s="12"/>
    </row>
    <row r="8" spans="1:8" s="19" customFormat="1" ht="15.6">
      <c r="A8" s="21"/>
      <c r="B8" s="1" t="s">
        <v>519</v>
      </c>
      <c r="C8" s="5"/>
      <c r="D8" s="20"/>
      <c r="E8" s="5"/>
      <c r="F8" s="5"/>
      <c r="G8" s="21"/>
    </row>
    <row r="9" spans="1:8">
      <c r="A9" s="9"/>
    </row>
    <row r="10" spans="1:8" s="19" customFormat="1">
      <c r="A10" s="21">
        <v>1</v>
      </c>
      <c r="B10" s="38" t="s">
        <v>10</v>
      </c>
      <c r="C10" s="35"/>
      <c r="D10" s="36" t="s">
        <v>9</v>
      </c>
      <c r="E10" s="37">
        <f>ROUND((481+182.8+448)*(1+$C$6),2)</f>
        <v>1293.02</v>
      </c>
      <c r="F10" s="35">
        <f>ROUND(C10*E10,0)</f>
        <v>0</v>
      </c>
      <c r="G10" s="98" t="s">
        <v>570</v>
      </c>
      <c r="H10" s="2" t="s">
        <v>196</v>
      </c>
    </row>
    <row r="11" spans="1:8" s="19" customFormat="1">
      <c r="A11" s="21"/>
      <c r="B11" s="38"/>
      <c r="C11" s="35"/>
      <c r="D11" s="36"/>
      <c r="E11" s="63"/>
      <c r="F11" s="35"/>
      <c r="G11" s="38"/>
      <c r="H11" s="2"/>
    </row>
    <row r="12" spans="1:8">
      <c r="A12" s="9"/>
      <c r="B12" s="19" t="s">
        <v>235</v>
      </c>
      <c r="C12" s="12"/>
      <c r="F12" s="12"/>
    </row>
    <row r="13" spans="1:8" s="19" customFormat="1">
      <c r="A13" s="21"/>
      <c r="B13" s="3" t="s">
        <v>236</v>
      </c>
      <c r="C13" s="25"/>
      <c r="D13" s="20" t="s">
        <v>182</v>
      </c>
      <c r="E13" s="37">
        <f>ROUND(1.67*(1+$C$6),2)</f>
        <v>1.94</v>
      </c>
      <c r="F13" s="25">
        <f>ROUND(C13*E13,0)</f>
        <v>0</v>
      </c>
      <c r="G13" s="21" t="s">
        <v>485</v>
      </c>
    </row>
    <row r="14" spans="1:8" s="19" customFormat="1">
      <c r="A14" s="21"/>
      <c r="B14" s="3" t="s">
        <v>117</v>
      </c>
      <c r="C14" s="25"/>
      <c r="D14" s="20" t="s">
        <v>182</v>
      </c>
      <c r="E14" s="37">
        <f>ROUND(0.93*(1+$C$6),2)</f>
        <v>1.08</v>
      </c>
      <c r="F14" s="25">
        <f>ROUND(C14*E14,0)</f>
        <v>0</v>
      </c>
      <c r="G14" s="21" t="s">
        <v>486</v>
      </c>
    </row>
    <row r="15" spans="1:8" s="19" customFormat="1">
      <c r="A15" s="21"/>
      <c r="B15" s="3" t="s">
        <v>484</v>
      </c>
      <c r="C15" s="25"/>
      <c r="D15" s="20" t="s">
        <v>182</v>
      </c>
      <c r="E15" s="37">
        <f>ROUND(1.79*(1+$C$6),2)</f>
        <v>2.08</v>
      </c>
      <c r="F15" s="25">
        <f>ROUND(C15*E15,0)</f>
        <v>0</v>
      </c>
      <c r="G15" s="21" t="s">
        <v>520</v>
      </c>
    </row>
    <row r="16" spans="1:8" s="19" customFormat="1">
      <c r="A16" s="21"/>
      <c r="B16" s="3" t="s">
        <v>117</v>
      </c>
      <c r="C16" s="25"/>
      <c r="D16" s="20" t="s">
        <v>182</v>
      </c>
      <c r="E16" s="37">
        <f>ROUND(0.6*(1+$C$6),2)</f>
        <v>0.7</v>
      </c>
      <c r="F16" s="25">
        <f>ROUND(C16*E16,0)</f>
        <v>0</v>
      </c>
      <c r="G16" s="21" t="s">
        <v>521</v>
      </c>
    </row>
    <row r="17" spans="1:7">
      <c r="A17" s="9"/>
      <c r="C17" s="12"/>
      <c r="E17" s="62"/>
      <c r="F17" s="12"/>
    </row>
    <row r="18" spans="1:7" s="19" customFormat="1">
      <c r="A18" s="21"/>
      <c r="B18" s="19" t="s">
        <v>119</v>
      </c>
      <c r="C18" s="25"/>
      <c r="D18" s="20"/>
      <c r="E18" s="63"/>
      <c r="F18" s="25"/>
      <c r="G18" s="21"/>
    </row>
    <row r="19" spans="1:7" s="19" customFormat="1">
      <c r="A19" s="21"/>
      <c r="B19" s="3" t="s">
        <v>236</v>
      </c>
      <c r="C19" s="25"/>
      <c r="D19" s="20" t="s">
        <v>234</v>
      </c>
      <c r="E19" s="37">
        <f>ROUND((5.75/9)*(1+$C$6),2)</f>
        <v>0.74</v>
      </c>
      <c r="F19" s="25">
        <f>ROUND(C19*E19,0)</f>
        <v>0</v>
      </c>
      <c r="G19" s="21" t="s">
        <v>426</v>
      </c>
    </row>
    <row r="20" spans="1:7" s="19" customFormat="1">
      <c r="A20" s="21"/>
      <c r="B20" s="3" t="s">
        <v>118</v>
      </c>
      <c r="C20" s="25"/>
      <c r="D20" s="20" t="s">
        <v>234</v>
      </c>
      <c r="E20" s="37">
        <f>ROUND((9.4/9)*(1+$C$6),2)</f>
        <v>1.21</v>
      </c>
      <c r="F20" s="25">
        <f>ROUND(C20*E20,0)</f>
        <v>0</v>
      </c>
      <c r="G20" s="21" t="s">
        <v>427</v>
      </c>
    </row>
    <row r="21" spans="1:7" s="19" customFormat="1">
      <c r="A21" s="21"/>
      <c r="B21" s="3"/>
      <c r="C21" s="25"/>
      <c r="D21" s="20"/>
      <c r="E21" s="37"/>
      <c r="F21" s="25"/>
      <c r="G21" s="21"/>
    </row>
    <row r="22" spans="1:7" s="19" customFormat="1">
      <c r="A22" s="21"/>
      <c r="B22" s="3" t="s">
        <v>448</v>
      </c>
      <c r="C22" s="25"/>
      <c r="D22" s="20" t="s">
        <v>234</v>
      </c>
      <c r="E22" s="37">
        <f>ROUND((15.5/9)*(1+$C$6),2)</f>
        <v>2</v>
      </c>
      <c r="F22" s="25"/>
      <c r="G22" s="21" t="s">
        <v>449</v>
      </c>
    </row>
    <row r="23" spans="1:7">
      <c r="A23" s="9"/>
      <c r="B23" s="15"/>
      <c r="C23" s="12"/>
      <c r="E23" s="54"/>
      <c r="F23" s="12"/>
    </row>
    <row r="24" spans="1:7" s="19" customFormat="1">
      <c r="A24" s="21"/>
      <c r="B24" s="19" t="s">
        <v>271</v>
      </c>
      <c r="C24" s="25"/>
      <c r="D24" s="20"/>
      <c r="E24" s="63"/>
      <c r="F24" s="25"/>
      <c r="G24" s="21"/>
    </row>
    <row r="25" spans="1:7" s="19" customFormat="1">
      <c r="A25" s="21"/>
      <c r="B25" s="3" t="s">
        <v>573</v>
      </c>
      <c r="C25" s="25"/>
      <c r="D25" s="20" t="s">
        <v>234</v>
      </c>
      <c r="E25" s="37">
        <f>ROUND((5.35/9)*(1+$C$6),2)</f>
        <v>0.69</v>
      </c>
      <c r="F25" s="25">
        <f>ROUND(C25*E25,0)</f>
        <v>0</v>
      </c>
      <c r="G25" s="21" t="s">
        <v>487</v>
      </c>
    </row>
    <row r="26" spans="1:7" s="19" customFormat="1">
      <c r="A26" s="21"/>
      <c r="B26" s="3" t="s">
        <v>267</v>
      </c>
      <c r="C26" s="25"/>
      <c r="D26" s="20" t="s">
        <v>234</v>
      </c>
      <c r="E26" s="37">
        <f>ROUND((10.15/9)*(1+$C$6),2)</f>
        <v>1.31</v>
      </c>
      <c r="F26" s="25">
        <f>ROUND(C26*E26,0)</f>
        <v>0</v>
      </c>
      <c r="G26" s="21" t="s">
        <v>422</v>
      </c>
    </row>
    <row r="27" spans="1:7" s="19" customFormat="1">
      <c r="A27" s="21"/>
      <c r="B27" s="3" t="s">
        <v>268</v>
      </c>
      <c r="C27" s="25"/>
      <c r="D27" s="20" t="s">
        <v>234</v>
      </c>
      <c r="E27" s="37">
        <f>ROUND((6.95/9)*(1+$C$6),2)</f>
        <v>0.9</v>
      </c>
      <c r="F27" s="25">
        <f>ROUND(C27*E27,0)</f>
        <v>0</v>
      </c>
      <c r="G27" s="21" t="s">
        <v>423</v>
      </c>
    </row>
    <row r="28" spans="1:7" s="19" customFormat="1">
      <c r="A28" s="21"/>
      <c r="B28" s="3" t="s">
        <v>269</v>
      </c>
      <c r="C28" s="25"/>
      <c r="D28" s="20" t="s">
        <v>234</v>
      </c>
      <c r="E28" s="37">
        <f>ROUND((11.7/9)*(1+$C$6),2)</f>
        <v>1.51</v>
      </c>
      <c r="F28" s="25">
        <f>ROUND(C28*E28,0)</f>
        <v>0</v>
      </c>
      <c r="G28" s="21" t="s">
        <v>424</v>
      </c>
    </row>
    <row r="29" spans="1:7" s="19" customFormat="1">
      <c r="A29" s="21"/>
      <c r="B29" s="3" t="s">
        <v>110</v>
      </c>
      <c r="C29" s="25"/>
      <c r="D29" s="20" t="s">
        <v>234</v>
      </c>
      <c r="E29" s="37">
        <f>ROUND((12.55/9)*(1+$C$6),2)</f>
        <v>1.62</v>
      </c>
      <c r="F29" s="25">
        <f>ROUND(C29*E29,0)</f>
        <v>0</v>
      </c>
      <c r="G29" s="21" t="s">
        <v>425</v>
      </c>
    </row>
    <row r="30" spans="1:7">
      <c r="A30" s="9"/>
      <c r="B30" s="15"/>
      <c r="C30" s="12"/>
      <c r="E30" s="54"/>
      <c r="F30" s="12"/>
    </row>
    <row r="31" spans="1:7" s="19" customFormat="1">
      <c r="A31" s="21"/>
      <c r="B31" s="19" t="s">
        <v>120</v>
      </c>
      <c r="C31" s="25"/>
      <c r="D31" s="20"/>
      <c r="E31" s="63"/>
      <c r="F31" s="25"/>
      <c r="G31" s="21"/>
    </row>
    <row r="32" spans="1:7" s="19" customFormat="1">
      <c r="A32" s="21"/>
      <c r="B32" s="3" t="s">
        <v>121</v>
      </c>
      <c r="C32" s="25"/>
      <c r="D32" s="20" t="s">
        <v>182</v>
      </c>
      <c r="E32" s="37">
        <f>ROUND(5.2*(1+$C$6),2)</f>
        <v>6.05</v>
      </c>
      <c r="F32" s="25">
        <f>ROUND(C32*E32,0)</f>
        <v>0</v>
      </c>
      <c r="G32" s="21" t="s">
        <v>428</v>
      </c>
    </row>
    <row r="33" spans="1:7" s="19" customFormat="1">
      <c r="A33" s="21"/>
      <c r="B33" s="3" t="s">
        <v>122</v>
      </c>
      <c r="C33" s="25"/>
      <c r="D33" s="20" t="s">
        <v>182</v>
      </c>
      <c r="E33" s="37">
        <f>ROUND(6.8*(1+$C$6),2)</f>
        <v>7.91</v>
      </c>
      <c r="F33" s="25">
        <f>ROUND(C33*E33,0)</f>
        <v>0</v>
      </c>
      <c r="G33" s="21" t="s">
        <v>429</v>
      </c>
    </row>
    <row r="34" spans="1:7" s="19" customFormat="1">
      <c r="A34" s="21"/>
      <c r="B34" s="3" t="s">
        <v>123</v>
      </c>
      <c r="C34" s="25"/>
      <c r="D34" s="20" t="s">
        <v>182</v>
      </c>
      <c r="E34" s="37">
        <f>ROUND(5.2*(1+$C$6),2)</f>
        <v>6.05</v>
      </c>
      <c r="F34" s="25">
        <f>ROUND(C34*E34,0)</f>
        <v>0</v>
      </c>
      <c r="G34" s="21" t="s">
        <v>499</v>
      </c>
    </row>
    <row r="35" spans="1:7" s="19" customFormat="1">
      <c r="A35" s="21"/>
      <c r="B35" s="3" t="s">
        <v>21</v>
      </c>
      <c r="C35" s="25"/>
      <c r="D35" s="20" t="s">
        <v>182</v>
      </c>
      <c r="E35" s="37">
        <f>ROUND(3.55*(1+$C$6),2)</f>
        <v>4.13</v>
      </c>
      <c r="F35" s="25">
        <f>ROUND(C35*E35,0)</f>
        <v>0</v>
      </c>
      <c r="G35" s="21" t="s">
        <v>500</v>
      </c>
    </row>
    <row r="36" spans="1:7" s="19" customFormat="1">
      <c r="A36" s="21"/>
      <c r="B36" s="3" t="s">
        <v>124</v>
      </c>
      <c r="C36" s="25"/>
      <c r="D36" s="20" t="s">
        <v>182</v>
      </c>
      <c r="E36" s="37">
        <f>ROUND(3.29*(1+$C$6),2)</f>
        <v>3.83</v>
      </c>
      <c r="F36" s="25">
        <f>ROUND(C36*E36,0)</f>
        <v>0</v>
      </c>
      <c r="G36" s="21" t="s">
        <v>501</v>
      </c>
    </row>
    <row r="37" spans="1:7" s="19" customFormat="1">
      <c r="A37" s="21"/>
      <c r="B37" s="3"/>
      <c r="C37" s="25"/>
      <c r="D37" s="20"/>
      <c r="E37" s="37"/>
      <c r="F37" s="25"/>
      <c r="G37" s="21"/>
    </row>
    <row r="38" spans="1:7" s="19" customFormat="1">
      <c r="A38" s="21"/>
      <c r="B38" s="2" t="s">
        <v>450</v>
      </c>
      <c r="C38" s="25"/>
      <c r="D38" s="20"/>
      <c r="E38" s="37"/>
      <c r="F38" s="25"/>
      <c r="G38" s="21"/>
    </row>
    <row r="39" spans="1:7" s="19" customFormat="1">
      <c r="A39" s="21"/>
      <c r="B39" s="21" t="s">
        <v>454</v>
      </c>
      <c r="C39" s="25"/>
      <c r="D39" s="20"/>
      <c r="E39" s="37"/>
      <c r="F39" s="25"/>
      <c r="G39" s="21"/>
    </row>
    <row r="40" spans="1:7" s="19" customFormat="1">
      <c r="A40" s="21"/>
      <c r="B40" s="3" t="s">
        <v>451</v>
      </c>
      <c r="C40" s="25"/>
      <c r="D40" s="20" t="s">
        <v>230</v>
      </c>
      <c r="E40" s="37">
        <f>ROUND(7.5*(1+$C$6),2)</f>
        <v>8.7200000000000006</v>
      </c>
      <c r="F40" s="25"/>
      <c r="G40" s="33" t="s">
        <v>529</v>
      </c>
    </row>
    <row r="41" spans="1:7" s="19" customFormat="1">
      <c r="A41" s="21"/>
      <c r="B41" s="3" t="s">
        <v>452</v>
      </c>
      <c r="C41" s="25"/>
      <c r="D41" s="20" t="s">
        <v>230</v>
      </c>
      <c r="E41" s="37">
        <f>ROUND(18.1*(1+$C$6),2)</f>
        <v>21.05</v>
      </c>
      <c r="F41" s="25"/>
      <c r="G41" s="64" t="s">
        <v>530</v>
      </c>
    </row>
    <row r="42" spans="1:7" s="19" customFormat="1">
      <c r="A42" s="21"/>
      <c r="B42" s="3" t="s">
        <v>453</v>
      </c>
      <c r="C42" s="25"/>
      <c r="D42" s="20" t="s">
        <v>230</v>
      </c>
      <c r="E42" s="37">
        <f>ROUND(3.03*(1+$C$6),2)</f>
        <v>3.52</v>
      </c>
      <c r="F42" s="25"/>
      <c r="G42" s="64" t="s">
        <v>531</v>
      </c>
    </row>
    <row r="43" spans="1:7" s="19" customFormat="1">
      <c r="A43" s="21"/>
      <c r="B43" s="3" t="s">
        <v>455</v>
      </c>
      <c r="C43" s="25"/>
      <c r="D43" s="20" t="s">
        <v>230</v>
      </c>
      <c r="E43" s="37">
        <f>ROUND(6.25*(1+$C$6),2)</f>
        <v>7.27</v>
      </c>
      <c r="F43" s="25"/>
      <c r="G43" s="64" t="s">
        <v>532</v>
      </c>
    </row>
    <row r="44" spans="1:7" s="19" customFormat="1">
      <c r="A44" s="21"/>
      <c r="B44" s="3" t="s">
        <v>458</v>
      </c>
      <c r="C44" s="25"/>
      <c r="D44" s="20" t="s">
        <v>230</v>
      </c>
      <c r="E44" s="37">
        <f>ROUND(9.75*(1+$C$6),2)</f>
        <v>11.34</v>
      </c>
      <c r="F44" s="25"/>
      <c r="G44" s="64" t="s">
        <v>533</v>
      </c>
    </row>
    <row r="45" spans="1:7" s="19" customFormat="1">
      <c r="A45" s="21"/>
      <c r="B45" s="3"/>
      <c r="C45" s="25"/>
      <c r="D45" s="20"/>
      <c r="E45" s="37"/>
      <c r="F45" s="25"/>
      <c r="G45" s="64"/>
    </row>
    <row r="46" spans="1:7" s="19" customFormat="1">
      <c r="A46" s="21"/>
      <c r="B46" s="21" t="s">
        <v>539</v>
      </c>
      <c r="C46" s="25"/>
      <c r="D46" s="20"/>
      <c r="E46" s="37"/>
      <c r="F46" s="25"/>
      <c r="G46" s="64"/>
    </row>
    <row r="47" spans="1:7" s="19" customFormat="1">
      <c r="A47" s="21"/>
      <c r="B47" s="3" t="s">
        <v>28</v>
      </c>
      <c r="C47" s="25"/>
      <c r="D47" s="20" t="s">
        <v>230</v>
      </c>
      <c r="E47" s="37">
        <f>ROUND(2.47*(1+$C$6),2)</f>
        <v>2.87</v>
      </c>
      <c r="F47" s="25"/>
      <c r="G47" s="64" t="s">
        <v>29</v>
      </c>
    </row>
    <row r="48" spans="1:7" s="19" customFormat="1">
      <c r="A48" s="21"/>
      <c r="B48" s="3" t="s">
        <v>27</v>
      </c>
      <c r="C48" s="25"/>
      <c r="D48" s="20" t="s">
        <v>230</v>
      </c>
      <c r="E48" s="37">
        <f>ROUND(3.29*(1+$C$6),2)</f>
        <v>3.83</v>
      </c>
      <c r="F48" s="25"/>
      <c r="G48" s="64" t="s">
        <v>540</v>
      </c>
    </row>
    <row r="49" spans="1:8" s="19" customFormat="1">
      <c r="A49" s="21"/>
      <c r="B49" s="3" t="s">
        <v>125</v>
      </c>
      <c r="C49" s="25"/>
      <c r="D49" s="20" t="s">
        <v>402</v>
      </c>
      <c r="E49" s="37">
        <f>ROUND(20*(1+$C$6),2)</f>
        <v>23.26</v>
      </c>
      <c r="F49" s="25"/>
      <c r="G49" s="64" t="s">
        <v>126</v>
      </c>
      <c r="H49" s="38"/>
    </row>
    <row r="50" spans="1:8" s="19" customFormat="1">
      <c r="A50" s="21"/>
      <c r="B50" s="3"/>
      <c r="C50" s="25"/>
      <c r="D50" s="20"/>
      <c r="E50" s="71"/>
      <c r="F50" s="27"/>
      <c r="G50" s="75"/>
      <c r="H50" s="85"/>
    </row>
    <row r="51" spans="1:8" s="19" customFormat="1">
      <c r="A51" s="21"/>
      <c r="B51" s="21" t="s">
        <v>541</v>
      </c>
      <c r="C51" s="25"/>
      <c r="D51" s="20"/>
      <c r="E51" s="37"/>
      <c r="F51" s="25"/>
      <c r="G51" s="21"/>
    </row>
    <row r="52" spans="1:8" s="19" customFormat="1">
      <c r="A52" s="21"/>
      <c r="B52" s="3" t="s">
        <v>470</v>
      </c>
      <c r="C52" s="25"/>
      <c r="D52" s="20" t="s">
        <v>230</v>
      </c>
      <c r="E52" s="37">
        <f>ROUND(8.55*(1+$C$6),2)</f>
        <v>9.94</v>
      </c>
      <c r="F52" s="25"/>
      <c r="G52" s="64" t="s">
        <v>472</v>
      </c>
    </row>
    <row r="53" spans="1:8" s="19" customFormat="1">
      <c r="A53" s="21"/>
      <c r="B53" s="3"/>
      <c r="C53" s="25"/>
      <c r="D53" s="20"/>
      <c r="E53" s="37"/>
      <c r="F53" s="25"/>
      <c r="G53" s="21"/>
    </row>
    <row r="54" spans="1:8" s="19" customFormat="1">
      <c r="A54" s="21"/>
      <c r="B54" s="21" t="s">
        <v>469</v>
      </c>
      <c r="C54" s="25"/>
      <c r="D54" s="20"/>
      <c r="E54" s="37"/>
      <c r="F54" s="25"/>
      <c r="G54" s="21"/>
    </row>
    <row r="55" spans="1:8" s="19" customFormat="1">
      <c r="A55" s="21"/>
      <c r="B55" s="3" t="s">
        <v>471</v>
      </c>
      <c r="C55" s="25"/>
      <c r="D55" s="20" t="s">
        <v>230</v>
      </c>
      <c r="E55" s="37">
        <f>ROUND(2.56*(1+$C$6),2)</f>
        <v>2.98</v>
      </c>
      <c r="F55" s="25"/>
      <c r="G55" s="64" t="s">
        <v>473</v>
      </c>
    </row>
    <row r="56" spans="1:8" s="19" customFormat="1">
      <c r="A56" s="21"/>
      <c r="B56" s="21"/>
      <c r="C56" s="25"/>
      <c r="D56" s="20"/>
      <c r="E56" s="37"/>
      <c r="F56" s="25"/>
      <c r="G56" s="21"/>
    </row>
    <row r="57" spans="1:8" s="19" customFormat="1">
      <c r="A57" s="21"/>
      <c r="B57" s="2" t="s">
        <v>474</v>
      </c>
      <c r="C57" s="25"/>
      <c r="D57" s="20"/>
      <c r="E57" s="37"/>
      <c r="F57" s="25"/>
      <c r="G57" s="21"/>
    </row>
    <row r="58" spans="1:8" s="19" customFormat="1">
      <c r="A58" s="21"/>
      <c r="B58" s="3" t="s">
        <v>35</v>
      </c>
      <c r="C58" s="25"/>
      <c r="D58" s="20" t="s">
        <v>230</v>
      </c>
      <c r="E58" s="37">
        <f>ROUND(222*(1+$C$6),2)</f>
        <v>258.19</v>
      </c>
      <c r="F58" s="25"/>
      <c r="G58" s="96" t="s">
        <v>195</v>
      </c>
    </row>
    <row r="59" spans="1:8" s="19" customFormat="1">
      <c r="A59" s="21"/>
      <c r="B59" s="3" t="s">
        <v>36</v>
      </c>
      <c r="C59" s="25"/>
      <c r="D59" s="20" t="s">
        <v>230</v>
      </c>
      <c r="E59" s="37">
        <f>ROUND(283*(1+$C$6),2)</f>
        <v>329.13</v>
      </c>
      <c r="F59" s="25"/>
      <c r="G59" s="64" t="s">
        <v>24</v>
      </c>
    </row>
    <row r="60" spans="1:8" s="19" customFormat="1">
      <c r="A60" s="21"/>
      <c r="B60" s="3" t="s">
        <v>193</v>
      </c>
      <c r="C60" s="25"/>
      <c r="D60" s="20" t="s">
        <v>230</v>
      </c>
      <c r="E60" s="37">
        <f>ROUND(360*(1+$C$6),2)</f>
        <v>418.68</v>
      </c>
      <c r="F60" s="25"/>
      <c r="G60" s="64" t="s">
        <v>25</v>
      </c>
    </row>
    <row r="61" spans="1:8" s="19" customFormat="1">
      <c r="A61" s="21"/>
      <c r="B61" s="3" t="s">
        <v>194</v>
      </c>
      <c r="C61" s="25"/>
      <c r="D61" s="20" t="s">
        <v>234</v>
      </c>
      <c r="E61" s="37">
        <f>ROUND(2.08*(1+$C$6),2)</f>
        <v>2.42</v>
      </c>
      <c r="F61" s="25"/>
      <c r="G61" s="64" t="s">
        <v>26</v>
      </c>
    </row>
    <row r="62" spans="1:8" s="19" customFormat="1">
      <c r="A62" s="21"/>
      <c r="B62" s="3"/>
      <c r="C62" s="25"/>
      <c r="D62" s="20"/>
      <c r="E62" s="37"/>
      <c r="F62" s="25"/>
      <c r="G62" s="21"/>
    </row>
    <row r="63" spans="1:8">
      <c r="A63" s="9"/>
      <c r="B63" s="15"/>
      <c r="C63" s="12"/>
      <c r="E63" s="54"/>
      <c r="F63" s="12"/>
    </row>
    <row r="64" spans="1:8" s="19" customFormat="1">
      <c r="A64" s="21"/>
      <c r="B64" s="19" t="s">
        <v>555</v>
      </c>
      <c r="C64" s="5"/>
      <c r="D64" s="20" t="s">
        <v>237</v>
      </c>
      <c r="E64" s="37">
        <f>ROUND(7175*(1+C6),0)</f>
        <v>8345</v>
      </c>
      <c r="F64" s="25">
        <f>ROUND(C64*E64,0)</f>
        <v>0</v>
      </c>
      <c r="G64" s="21" t="s">
        <v>502</v>
      </c>
    </row>
    <row r="65" spans="1:13" s="19" customFormat="1">
      <c r="A65" s="21"/>
      <c r="C65" s="5"/>
      <c r="D65" s="20"/>
      <c r="E65" s="37"/>
      <c r="F65" s="25"/>
      <c r="G65" s="21"/>
    </row>
    <row r="66" spans="1:13" s="19" customFormat="1">
      <c r="A66" s="21"/>
      <c r="B66" s="19" t="s">
        <v>513</v>
      </c>
      <c r="C66" s="5"/>
      <c r="D66" s="20"/>
      <c r="E66" s="37"/>
      <c r="F66" s="25"/>
      <c r="G66" s="21"/>
    </row>
    <row r="67" spans="1:13" s="19" customFormat="1">
      <c r="A67" s="21"/>
      <c r="B67" s="3" t="s">
        <v>561</v>
      </c>
      <c r="C67" s="25"/>
      <c r="D67" s="20" t="s">
        <v>402</v>
      </c>
      <c r="E67" s="37">
        <f>ROUND(590*(1+$C$6),2)</f>
        <v>686.17</v>
      </c>
      <c r="F67" s="25">
        <f>ROUND(C67*E67,0)</f>
        <v>0</v>
      </c>
      <c r="G67" s="91" t="s">
        <v>562</v>
      </c>
    </row>
    <row r="68" spans="1:13" s="19" customFormat="1">
      <c r="A68" s="21"/>
      <c r="B68" s="3" t="s">
        <v>514</v>
      </c>
      <c r="C68" s="25"/>
      <c r="D68" s="20" t="s">
        <v>402</v>
      </c>
      <c r="E68" s="37">
        <f>ROUND(710*(1+$C$6),2)</f>
        <v>825.73</v>
      </c>
      <c r="F68" s="25">
        <f>ROUND(C68*E68,0)</f>
        <v>0</v>
      </c>
      <c r="G68" s="21" t="s">
        <v>503</v>
      </c>
    </row>
    <row r="69" spans="1:13" s="19" customFormat="1">
      <c r="A69" s="21"/>
      <c r="B69" s="3" t="s">
        <v>515</v>
      </c>
      <c r="C69" s="25"/>
      <c r="D69" s="20" t="s">
        <v>402</v>
      </c>
      <c r="E69" s="37">
        <f>ROUND(890*(1+$C$6),2)</f>
        <v>1035.07</v>
      </c>
      <c r="F69" s="25">
        <f>ROUND(C69*E69,0)</f>
        <v>0</v>
      </c>
      <c r="G69" s="21" t="s">
        <v>504</v>
      </c>
    </row>
    <row r="70" spans="1:13" s="19" customFormat="1">
      <c r="A70" s="21"/>
      <c r="B70" s="3" t="s">
        <v>516</v>
      </c>
      <c r="C70" s="25"/>
      <c r="D70" s="20" t="s">
        <v>402</v>
      </c>
      <c r="E70" s="37">
        <f>ROUND(1200*(1+$C$6),2)</f>
        <v>1395.6</v>
      </c>
      <c r="F70" s="25">
        <f>ROUND(C70*E70,0)</f>
        <v>0</v>
      </c>
      <c r="G70" s="21" t="s">
        <v>505</v>
      </c>
    </row>
    <row r="71" spans="1:13" s="19" customFormat="1">
      <c r="A71" s="21"/>
      <c r="B71" s="3" t="s">
        <v>563</v>
      </c>
      <c r="C71" s="25"/>
      <c r="D71" s="20" t="s">
        <v>402</v>
      </c>
      <c r="E71" s="37">
        <f>ROUND(1775*(1+$C$6),2)</f>
        <v>2064.33</v>
      </c>
      <c r="F71" s="25">
        <f>ROUND(C71*E71,0)</f>
        <v>0</v>
      </c>
      <c r="G71" s="91" t="s">
        <v>564</v>
      </c>
    </row>
    <row r="72" spans="1:13">
      <c r="A72" s="9"/>
      <c r="E72" s="86"/>
      <c r="F72" s="16"/>
      <c r="G72" s="80"/>
      <c r="H72" s="87"/>
    </row>
    <row r="73" spans="1:13" s="19" customFormat="1">
      <c r="A73" s="21"/>
      <c r="B73" s="2" t="s">
        <v>375</v>
      </c>
      <c r="C73" s="27"/>
      <c r="D73" s="20"/>
      <c r="E73" s="5"/>
      <c r="F73" s="25"/>
      <c r="G73" s="21"/>
    </row>
    <row r="74" spans="1:13" s="28" customFormat="1">
      <c r="A74" s="21"/>
      <c r="B74" s="3" t="s">
        <v>184</v>
      </c>
      <c r="C74" s="27"/>
      <c r="D74" s="70" t="s">
        <v>108</v>
      </c>
      <c r="E74" s="71">
        <f>ROUND((ROUND((3.83+4.42+7)/3,2)+3.55+(0.27+2.42))*(1+C6),2)</f>
        <v>13.17</v>
      </c>
      <c r="F74" s="27">
        <f>ROUND(C74*E74,0)</f>
        <v>0</v>
      </c>
      <c r="G74" s="97" t="s">
        <v>96</v>
      </c>
      <c r="H74" s="28" t="s">
        <v>148</v>
      </c>
      <c r="L74" s="92"/>
      <c r="M74" s="92"/>
    </row>
    <row r="75" spans="1:13">
      <c r="A75" s="9"/>
      <c r="B75" s="15"/>
      <c r="C75" s="16"/>
      <c r="D75" s="69"/>
      <c r="E75" s="90"/>
      <c r="F75" s="16"/>
      <c r="G75" s="80"/>
    </row>
    <row r="76" spans="1:13" s="28" customFormat="1">
      <c r="A76" s="21"/>
      <c r="B76" s="57" t="s">
        <v>200</v>
      </c>
      <c r="C76" s="27"/>
      <c r="D76" s="70" t="s">
        <v>108</v>
      </c>
      <c r="E76" s="71">
        <f>ROUND((ROUND((19.2+24+15.35+28)/4,2)+2.42+1.38)*(1+C6),2)</f>
        <v>29.59</v>
      </c>
      <c r="F76" s="27">
        <f>ROUND(C76*E76,0)</f>
        <v>0</v>
      </c>
      <c r="G76" s="79" t="s">
        <v>99</v>
      </c>
      <c r="H76" s="94" t="s">
        <v>569</v>
      </c>
      <c r="J76" s="4"/>
    </row>
    <row r="77" spans="1:13">
      <c r="A77" s="9"/>
      <c r="B77" s="15"/>
      <c r="C77" s="17"/>
      <c r="D77" s="69"/>
      <c r="E77" s="90"/>
      <c r="F77" s="16"/>
      <c r="G77" s="81"/>
      <c r="H77" s="7"/>
    </row>
    <row r="78" spans="1:13">
      <c r="A78" s="9"/>
      <c r="B78" s="2" t="s">
        <v>107</v>
      </c>
      <c r="C78" s="29"/>
      <c r="D78" s="70" t="s">
        <v>108</v>
      </c>
      <c r="E78" s="71">
        <f>ROUND(((ROUND((3.83+4.42+7)/3,2)*2+2.42))*(1+C6),2)</f>
        <v>14.63</v>
      </c>
      <c r="F78" s="27">
        <f>ROUND(C78*E78,0)</f>
        <v>0</v>
      </c>
      <c r="G78" s="81" t="s">
        <v>0</v>
      </c>
      <c r="H78" s="6" t="s">
        <v>291</v>
      </c>
    </row>
    <row r="79" spans="1:13">
      <c r="A79" s="9"/>
      <c r="B79" s="15"/>
      <c r="C79" s="17"/>
      <c r="E79" s="54"/>
      <c r="F79" s="12"/>
    </row>
    <row r="80" spans="1:13" s="19" customFormat="1">
      <c r="A80" s="21"/>
      <c r="B80" s="2" t="s">
        <v>262</v>
      </c>
      <c r="C80" s="29"/>
      <c r="D80" s="20"/>
      <c r="E80" s="37"/>
      <c r="F80" s="25"/>
      <c r="G80" s="21"/>
    </row>
    <row r="81" spans="1:8">
      <c r="A81" s="9"/>
      <c r="B81" s="15"/>
      <c r="C81" s="17"/>
      <c r="E81" s="54"/>
      <c r="F81" s="12"/>
    </row>
    <row r="82" spans="1:8" s="19" customFormat="1" ht="26.4">
      <c r="A82" s="21"/>
      <c r="B82" s="83" t="s">
        <v>522</v>
      </c>
      <c r="C82" s="30"/>
      <c r="D82" s="20" t="s">
        <v>108</v>
      </c>
      <c r="E82" s="37">
        <f>ROUND(7.15*(1+C6),2)</f>
        <v>8.32</v>
      </c>
      <c r="F82" s="25">
        <f>ROUND(C82*E82,0)</f>
        <v>0</v>
      </c>
      <c r="G82" s="21" t="s">
        <v>523</v>
      </c>
    </row>
    <row r="83" spans="1:8" s="28" customFormat="1">
      <c r="A83" s="21"/>
      <c r="B83" s="3" t="s">
        <v>261</v>
      </c>
      <c r="C83" s="30">
        <f>C82</f>
        <v>0</v>
      </c>
      <c r="D83" s="20" t="s">
        <v>108</v>
      </c>
      <c r="E83" s="84">
        <f>ROUND(1025/(1.1*7*8*20),2)</f>
        <v>0.83</v>
      </c>
      <c r="F83" s="25">
        <f>ROUND(C83*E83,0)</f>
        <v>0</v>
      </c>
      <c r="G83" s="21" t="s">
        <v>524</v>
      </c>
      <c r="H83" s="32" t="s">
        <v>361</v>
      </c>
    </row>
    <row r="84" spans="1:8">
      <c r="A84" s="9"/>
      <c r="B84" s="15"/>
      <c r="C84" s="16"/>
      <c r="E84" s="54"/>
      <c r="F84" s="12"/>
    </row>
    <row r="85" spans="1:8" s="19" customFormat="1">
      <c r="A85" s="21"/>
      <c r="B85" s="2" t="s">
        <v>366</v>
      </c>
      <c r="C85" s="25"/>
      <c r="D85" s="20"/>
      <c r="E85" s="37"/>
      <c r="F85" s="5"/>
      <c r="G85" s="21"/>
    </row>
    <row r="86" spans="1:8" s="19" customFormat="1">
      <c r="A86" s="21"/>
      <c r="B86" s="3" t="s">
        <v>354</v>
      </c>
      <c r="C86" s="25"/>
      <c r="D86" s="20" t="s">
        <v>234</v>
      </c>
      <c r="E86" s="37">
        <f>ROUND(ROUND(0.26/9,2)*(1+C6),2)</f>
        <v>0.03</v>
      </c>
      <c r="F86" s="25">
        <f>ROUND(C86*E86,0)</f>
        <v>0</v>
      </c>
      <c r="G86" s="33" t="s">
        <v>438</v>
      </c>
      <c r="H86" s="5"/>
    </row>
    <row r="87" spans="1:8" s="19" customFormat="1">
      <c r="A87" s="21"/>
      <c r="B87" s="3" t="s">
        <v>355</v>
      </c>
      <c r="C87" s="25"/>
      <c r="D87" s="20" t="s">
        <v>234</v>
      </c>
      <c r="E87" s="37">
        <f>ROUND(ROUND(((1.13+2.04)/2)/9,2)*(1+C6),2)</f>
        <v>0.21</v>
      </c>
      <c r="F87" s="25">
        <f>ROUND(C87*E87,0)</f>
        <v>0</v>
      </c>
      <c r="G87" s="21" t="s">
        <v>439</v>
      </c>
      <c r="H87" s="5" t="s">
        <v>554</v>
      </c>
    </row>
    <row r="88" spans="1:8">
      <c r="A88" s="9"/>
      <c r="B88" s="15"/>
      <c r="C88" s="12"/>
      <c r="E88" s="86"/>
      <c r="F88" s="16"/>
      <c r="G88" s="80"/>
      <c r="H88" s="87"/>
    </row>
    <row r="89" spans="1:8" s="19" customFormat="1">
      <c r="A89" s="21"/>
      <c r="B89" s="2" t="s">
        <v>287</v>
      </c>
      <c r="C89" s="25"/>
      <c r="D89" s="20"/>
      <c r="E89" s="5"/>
      <c r="F89" s="25"/>
      <c r="G89" s="21"/>
    </row>
    <row r="90" spans="1:8" s="19" customFormat="1">
      <c r="A90" s="21"/>
      <c r="B90" s="2"/>
      <c r="C90" s="25"/>
      <c r="D90" s="20"/>
      <c r="E90" s="5"/>
      <c r="F90" s="25"/>
      <c r="G90" s="21"/>
    </row>
    <row r="91" spans="1:8" s="19" customFormat="1">
      <c r="A91" s="21"/>
      <c r="B91" s="3" t="s">
        <v>553</v>
      </c>
      <c r="C91" s="30">
        <f>+C74+C76+C83+C78</f>
        <v>0</v>
      </c>
      <c r="D91" s="20" t="s">
        <v>108</v>
      </c>
      <c r="E91" s="37">
        <f>ROUND(ROUND(2.42/10,2)*(1+C6),2)</f>
        <v>0.28000000000000003</v>
      </c>
      <c r="F91" s="25">
        <f>ROUND(C91*E91,0)</f>
        <v>0</v>
      </c>
      <c r="G91" s="21" t="s">
        <v>440</v>
      </c>
      <c r="H91" s="94" t="s">
        <v>574</v>
      </c>
    </row>
    <row r="92" spans="1:8">
      <c r="A92" s="9"/>
      <c r="B92" s="15"/>
      <c r="C92" s="17"/>
      <c r="E92" s="54"/>
      <c r="F92" s="12"/>
    </row>
    <row r="93" spans="1:8" s="19" customFormat="1">
      <c r="A93" s="21"/>
      <c r="B93" s="2" t="s">
        <v>364</v>
      </c>
      <c r="C93" s="25"/>
      <c r="D93" s="20" t="s">
        <v>182</v>
      </c>
      <c r="E93" s="37">
        <f>ROUND(4.07*(1+C6),2)</f>
        <v>4.7300000000000004</v>
      </c>
      <c r="F93" s="25">
        <f>ROUND(C93*E93,0)</f>
        <v>0</v>
      </c>
      <c r="G93" s="91" t="s">
        <v>575</v>
      </c>
      <c r="H93" s="21" t="s">
        <v>37</v>
      </c>
    </row>
    <row r="94" spans="1:8" s="19" customFormat="1">
      <c r="A94" s="21"/>
      <c r="B94" s="3"/>
      <c r="C94" s="25"/>
      <c r="D94" s="20"/>
      <c r="E94" s="37"/>
      <c r="F94" s="25"/>
      <c r="G94" s="21"/>
    </row>
    <row r="95" spans="1:8" s="19" customFormat="1">
      <c r="A95" s="21"/>
      <c r="B95" s="2" t="s">
        <v>525</v>
      </c>
      <c r="C95" s="25"/>
      <c r="D95" s="20" t="s">
        <v>182</v>
      </c>
      <c r="E95" s="37">
        <f>ROUND(3.12*(1+C6),2)</f>
        <v>3.63</v>
      </c>
      <c r="F95" s="25">
        <f>ROUND(C95*E95,0)</f>
        <v>0</v>
      </c>
      <c r="G95" s="21" t="s">
        <v>147</v>
      </c>
      <c r="H95" s="21" t="s">
        <v>38</v>
      </c>
    </row>
    <row r="96" spans="1:8">
      <c r="A96" s="9"/>
      <c r="B96" s="10"/>
      <c r="C96" s="12"/>
      <c r="E96" s="54"/>
      <c r="F96" s="12"/>
    </row>
    <row r="97" spans="1:8" s="19" customFormat="1">
      <c r="A97" s="21"/>
      <c r="B97" s="2" t="s">
        <v>488</v>
      </c>
      <c r="C97" s="25"/>
      <c r="D97" s="20"/>
      <c r="E97" s="37"/>
      <c r="F97" s="5"/>
      <c r="G97" s="21"/>
    </row>
    <row r="98" spans="1:8" s="19" customFormat="1">
      <c r="A98" s="21"/>
      <c r="B98" s="3" t="s">
        <v>490</v>
      </c>
      <c r="C98" s="25"/>
      <c r="D98" s="20" t="s">
        <v>402</v>
      </c>
      <c r="E98" s="37">
        <f>ROUND(93.5*(1+$C$6),2)</f>
        <v>108.74</v>
      </c>
      <c r="F98" s="25">
        <f>ROUND(C98*E98,0)</f>
        <v>0</v>
      </c>
      <c r="G98" s="91" t="s">
        <v>566</v>
      </c>
    </row>
    <row r="99" spans="1:8" s="19" customFormat="1">
      <c r="A99" s="21"/>
      <c r="B99" s="3" t="s">
        <v>489</v>
      </c>
      <c r="C99" s="25"/>
      <c r="D99" s="20" t="s">
        <v>402</v>
      </c>
      <c r="E99" s="37">
        <f>ROUND(109*(1+$C$6),2)</f>
        <v>126.77</v>
      </c>
      <c r="F99" s="25">
        <f>ROUND(C99*E99,0)</f>
        <v>0</v>
      </c>
      <c r="G99" s="91" t="s">
        <v>565</v>
      </c>
    </row>
    <row r="100" spans="1:8" s="19" customFormat="1">
      <c r="A100" s="21"/>
      <c r="B100" s="3"/>
      <c r="C100" s="25"/>
      <c r="D100" s="20"/>
      <c r="E100" s="37"/>
      <c r="F100" s="25"/>
      <c r="G100" s="21"/>
    </row>
    <row r="101" spans="1:8" s="19" customFormat="1">
      <c r="A101" s="21"/>
      <c r="B101" s="2" t="s">
        <v>270</v>
      </c>
      <c r="C101" s="25"/>
      <c r="D101" s="20"/>
      <c r="E101" s="37"/>
      <c r="F101" s="5"/>
      <c r="G101" s="21"/>
    </row>
    <row r="102" spans="1:8" s="19" customFormat="1">
      <c r="A102" s="21"/>
      <c r="B102" s="3" t="s">
        <v>288</v>
      </c>
      <c r="C102" s="25"/>
      <c r="D102" s="20" t="s">
        <v>182</v>
      </c>
      <c r="E102" s="37">
        <f>ROUND(9.85*(1+C6),2)</f>
        <v>11.46</v>
      </c>
      <c r="F102" s="25">
        <f>ROUND(C102*E102,0)</f>
        <v>0</v>
      </c>
      <c r="G102" s="21" t="s">
        <v>442</v>
      </c>
    </row>
    <row r="103" spans="1:8" s="19" customFormat="1">
      <c r="A103" s="21"/>
      <c r="B103" s="3" t="s">
        <v>140</v>
      </c>
      <c r="C103" s="25"/>
      <c r="D103" s="20" t="s">
        <v>182</v>
      </c>
      <c r="E103" s="37">
        <f>ROUND(19.9*(1+C6),2)</f>
        <v>23.14</v>
      </c>
      <c r="F103" s="25">
        <f>ROUND(C103*E103,0)</f>
        <v>0</v>
      </c>
      <c r="G103" s="21" t="s">
        <v>517</v>
      </c>
    </row>
    <row r="104" spans="1:8">
      <c r="A104" s="9"/>
      <c r="B104" s="15"/>
      <c r="C104" s="12"/>
      <c r="E104" s="54"/>
      <c r="F104" s="12"/>
    </row>
    <row r="105" spans="1:8" s="19" customFormat="1">
      <c r="A105" s="21"/>
      <c r="B105" s="2" t="s">
        <v>387</v>
      </c>
      <c r="C105" s="25"/>
      <c r="D105" s="20"/>
      <c r="E105" s="37"/>
      <c r="F105" s="5"/>
      <c r="G105" s="21"/>
    </row>
    <row r="106" spans="1:8" s="19" customFormat="1">
      <c r="A106" s="21"/>
      <c r="B106" s="3" t="s">
        <v>288</v>
      </c>
      <c r="C106" s="25"/>
      <c r="D106" s="20" t="s">
        <v>182</v>
      </c>
      <c r="E106" s="37">
        <f>ROUND(5.85*(1+C6),2)</f>
        <v>6.8</v>
      </c>
      <c r="F106" s="25">
        <f>ROUND(C106*E106,0)</f>
        <v>0</v>
      </c>
      <c r="G106" s="21" t="s">
        <v>518</v>
      </c>
    </row>
    <row r="107" spans="1:8" s="19" customFormat="1">
      <c r="A107" s="21"/>
      <c r="B107" s="3" t="s">
        <v>140</v>
      </c>
      <c r="C107" s="25"/>
      <c r="D107" s="20" t="s">
        <v>182</v>
      </c>
      <c r="E107" s="37">
        <f>ROUND(8.3*(1+C6),2)</f>
        <v>9.65</v>
      </c>
      <c r="F107" s="25">
        <f>ROUND(C107*E107,0)</f>
        <v>0</v>
      </c>
      <c r="G107" s="21" t="s">
        <v>446</v>
      </c>
    </row>
    <row r="108" spans="1:8">
      <c r="A108" s="9"/>
      <c r="B108" s="15"/>
      <c r="C108" s="12"/>
      <c r="E108" s="54"/>
      <c r="F108" s="12"/>
    </row>
    <row r="109" spans="1:8" s="19" customFormat="1">
      <c r="A109" s="33"/>
      <c r="B109" s="38" t="s">
        <v>203</v>
      </c>
      <c r="C109" s="37"/>
      <c r="D109" s="36"/>
      <c r="E109" s="37"/>
      <c r="F109" s="35"/>
      <c r="G109" s="33"/>
    </row>
    <row r="110" spans="1:8" s="19" customFormat="1">
      <c r="A110" s="33"/>
      <c r="B110" s="34" t="s">
        <v>185</v>
      </c>
      <c r="C110" s="37"/>
      <c r="D110" s="36" t="s">
        <v>182</v>
      </c>
      <c r="E110" s="37">
        <f>ROUND(25.5*(1+C6),2)</f>
        <v>29.66</v>
      </c>
      <c r="F110" s="35">
        <f>ROUND(C110*E110,0)</f>
        <v>0</v>
      </c>
      <c r="G110" s="21" t="s">
        <v>447</v>
      </c>
    </row>
    <row r="111" spans="1:8" s="19" customFormat="1">
      <c r="A111" s="33"/>
      <c r="B111" s="34" t="s">
        <v>186</v>
      </c>
      <c r="C111" s="37"/>
      <c r="D111" s="36" t="s">
        <v>182</v>
      </c>
      <c r="E111" s="37">
        <f>ROUND(25*1.35*(1+C6),2)</f>
        <v>39.25</v>
      </c>
      <c r="F111" s="35">
        <f>ROUND(C111*E111,0)</f>
        <v>0</v>
      </c>
      <c r="G111" s="33"/>
      <c r="H111" s="19" t="s">
        <v>388</v>
      </c>
    </row>
    <row r="112" spans="1:8" s="19" customFormat="1">
      <c r="A112" s="33"/>
      <c r="B112" s="34" t="s">
        <v>187</v>
      </c>
      <c r="C112" s="37"/>
      <c r="D112" s="36" t="s">
        <v>182</v>
      </c>
      <c r="E112" s="37">
        <f>ROUND(28*(1+C6),2)</f>
        <v>32.56</v>
      </c>
      <c r="F112" s="35">
        <f>ROUND(C112*E112,0)</f>
        <v>0</v>
      </c>
      <c r="G112" s="21" t="s">
        <v>297</v>
      </c>
    </row>
    <row r="113" spans="1:8" s="19" customFormat="1">
      <c r="A113" s="33"/>
      <c r="B113" s="34" t="s">
        <v>30</v>
      </c>
      <c r="C113" s="37"/>
      <c r="D113" s="36" t="s">
        <v>182</v>
      </c>
      <c r="E113" s="37">
        <f>ROUND(27.5*1.35*(1+C6),2)</f>
        <v>43.18</v>
      </c>
      <c r="F113" s="35">
        <f>ROUND(C113*E113,0)</f>
        <v>0</v>
      </c>
      <c r="G113" s="33"/>
      <c r="H113" s="19" t="s">
        <v>388</v>
      </c>
    </row>
    <row r="114" spans="1:8" s="19" customFormat="1">
      <c r="A114" s="33"/>
      <c r="B114" s="34"/>
      <c r="C114" s="37"/>
      <c r="D114" s="36"/>
      <c r="E114" s="37"/>
      <c r="F114" s="35"/>
      <c r="G114" s="33"/>
    </row>
    <row r="115" spans="1:8" s="19" customFormat="1">
      <c r="A115" s="33"/>
      <c r="B115" s="38" t="s">
        <v>204</v>
      </c>
      <c r="C115" s="37"/>
      <c r="D115" s="36"/>
      <c r="E115" s="37"/>
      <c r="F115" s="35"/>
      <c r="G115" s="33"/>
    </row>
    <row r="116" spans="1:8" s="19" customFormat="1">
      <c r="A116" s="33"/>
      <c r="B116" s="34" t="s">
        <v>185</v>
      </c>
      <c r="C116" s="37"/>
      <c r="D116" s="36" t="s">
        <v>182</v>
      </c>
      <c r="E116" s="71">
        <f>ROUND(8.05*(1+C6),2)</f>
        <v>9.36</v>
      </c>
      <c r="F116" s="35">
        <f>ROUND(C116*E116,0)</f>
        <v>0</v>
      </c>
      <c r="G116" s="21" t="s">
        <v>298</v>
      </c>
    </row>
    <row r="117" spans="1:8" s="19" customFormat="1">
      <c r="A117" s="33"/>
      <c r="B117" s="34" t="s">
        <v>186</v>
      </c>
      <c r="C117" s="37"/>
      <c r="D117" s="36" t="s">
        <v>182</v>
      </c>
      <c r="E117" s="37">
        <f>ROUND(10.5*(1+C6),2)</f>
        <v>12.21</v>
      </c>
      <c r="F117" s="35">
        <f>ROUND(C117*E117,0)</f>
        <v>0</v>
      </c>
      <c r="G117" s="21" t="s">
        <v>299</v>
      </c>
    </row>
    <row r="118" spans="1:8" s="19" customFormat="1">
      <c r="A118" s="33"/>
      <c r="B118" s="34" t="s">
        <v>187</v>
      </c>
      <c r="C118" s="37"/>
      <c r="D118" s="36" t="s">
        <v>182</v>
      </c>
      <c r="E118" s="37">
        <f>ROUND(9.05*(1+C6),2)</f>
        <v>10.53</v>
      </c>
      <c r="F118" s="35">
        <f>ROUND(C118*E118,0)</f>
        <v>0</v>
      </c>
      <c r="G118" s="21" t="s">
        <v>300</v>
      </c>
    </row>
    <row r="119" spans="1:8" s="19" customFormat="1">
      <c r="A119" s="33"/>
      <c r="B119" s="34" t="s">
        <v>30</v>
      </c>
      <c r="C119" s="37"/>
      <c r="D119" s="36" t="s">
        <v>182</v>
      </c>
      <c r="E119" s="37">
        <f>ROUND(11.5*(1+C6),2)</f>
        <v>13.37</v>
      </c>
      <c r="F119" s="35">
        <f>ROUND(C119*E119,0)</f>
        <v>0</v>
      </c>
      <c r="G119" s="21" t="s">
        <v>456</v>
      </c>
    </row>
    <row r="120" spans="1:8">
      <c r="A120" s="52"/>
      <c r="B120" s="53"/>
      <c r="C120" s="54"/>
      <c r="D120" s="55"/>
      <c r="E120" s="54"/>
      <c r="F120" s="56"/>
      <c r="G120" s="52"/>
    </row>
    <row r="121" spans="1:8" s="19" customFormat="1">
      <c r="A121" s="33"/>
      <c r="B121" s="57" t="s">
        <v>480</v>
      </c>
      <c r="C121" s="35"/>
      <c r="D121" s="36"/>
      <c r="E121" s="37"/>
      <c r="F121" s="37"/>
      <c r="G121" s="33"/>
    </row>
    <row r="122" spans="1:8" s="19" customFormat="1">
      <c r="A122" s="33"/>
      <c r="B122" s="34" t="s">
        <v>288</v>
      </c>
      <c r="C122" s="35"/>
      <c r="D122" s="36" t="s">
        <v>182</v>
      </c>
      <c r="E122" s="37">
        <f>ROUND(33*(1+C6),2)</f>
        <v>38.380000000000003</v>
      </c>
      <c r="F122" s="35">
        <f>ROUND(C122*E122,0)</f>
        <v>0</v>
      </c>
      <c r="G122" s="33" t="s">
        <v>41</v>
      </c>
      <c r="H122" s="33" t="s">
        <v>39</v>
      </c>
    </row>
    <row r="123" spans="1:8" s="19" customFormat="1">
      <c r="A123" s="33"/>
      <c r="B123" s="34" t="s">
        <v>140</v>
      </c>
      <c r="C123" s="35"/>
      <c r="D123" s="36" t="s">
        <v>182</v>
      </c>
      <c r="E123" s="37">
        <f>ROUND(39*(1+C6),2)</f>
        <v>45.36</v>
      </c>
      <c r="F123" s="35">
        <f>ROUND(C123*E123,0)</f>
        <v>0</v>
      </c>
      <c r="G123" s="33" t="s">
        <v>42</v>
      </c>
      <c r="H123" s="33" t="s">
        <v>40</v>
      </c>
    </row>
    <row r="124" spans="1:8">
      <c r="A124" s="52"/>
      <c r="B124" s="53"/>
      <c r="C124" s="56"/>
      <c r="D124" s="55"/>
      <c r="E124" s="54"/>
      <c r="F124" s="56"/>
      <c r="G124" s="52"/>
    </row>
    <row r="125" spans="1:8" s="19" customFormat="1">
      <c r="A125" s="33"/>
      <c r="B125" s="38" t="s">
        <v>21</v>
      </c>
      <c r="C125" s="35"/>
      <c r="D125" s="36"/>
      <c r="E125" s="37"/>
      <c r="F125" s="35"/>
      <c r="G125" s="33"/>
    </row>
    <row r="126" spans="1:8">
      <c r="A126" s="52"/>
      <c r="B126" s="53"/>
      <c r="C126" s="56"/>
      <c r="D126" s="55"/>
      <c r="E126" s="54"/>
      <c r="F126" s="56"/>
      <c r="G126" s="58"/>
      <c r="H126" s="7"/>
    </row>
    <row r="127" spans="1:8" s="19" customFormat="1">
      <c r="A127" s="33"/>
      <c r="B127" s="34" t="s">
        <v>334</v>
      </c>
      <c r="C127" s="35"/>
      <c r="D127" s="36" t="s">
        <v>234</v>
      </c>
      <c r="E127" s="37">
        <f>ROUND(ROUND(4.92/9,2)*(1+C6),2)</f>
        <v>0.64</v>
      </c>
      <c r="F127" s="35">
        <f>ROUND(C127*E127,0)</f>
        <v>0</v>
      </c>
      <c r="G127" s="33" t="s">
        <v>457</v>
      </c>
      <c r="H127" s="5"/>
    </row>
    <row r="128" spans="1:8" s="19" customFormat="1">
      <c r="A128" s="33"/>
      <c r="B128" s="34" t="s">
        <v>307</v>
      </c>
      <c r="C128" s="35"/>
      <c r="D128" s="36" t="s">
        <v>234</v>
      </c>
      <c r="E128" s="37">
        <f>ROUND(ROUND(8/9,2)*(1+C6),2)</f>
        <v>1.04</v>
      </c>
      <c r="F128" s="35">
        <f>ROUND(C128*E128,0)</f>
        <v>0</v>
      </c>
      <c r="G128" s="33" t="s">
        <v>303</v>
      </c>
      <c r="H128" s="5"/>
    </row>
    <row r="129" spans="1:9" s="19" customFormat="1">
      <c r="A129" s="33"/>
      <c r="B129" s="34" t="s">
        <v>201</v>
      </c>
      <c r="C129" s="35"/>
      <c r="D129" s="36" t="s">
        <v>234</v>
      </c>
      <c r="E129" s="37">
        <f>ROUND(ROUND(10.55/9,2)*(1+C6),2)</f>
        <v>1.36</v>
      </c>
      <c r="F129" s="35">
        <f>ROUND(C129*E129,0)</f>
        <v>0</v>
      </c>
      <c r="G129" s="33" t="s">
        <v>304</v>
      </c>
      <c r="H129" s="5"/>
    </row>
    <row r="130" spans="1:9" s="19" customFormat="1">
      <c r="A130" s="33"/>
      <c r="B130" s="34" t="s">
        <v>252</v>
      </c>
      <c r="C130" s="35"/>
      <c r="D130" s="36" t="s">
        <v>234</v>
      </c>
      <c r="E130" s="37">
        <f>ROUND(ROUND(12.95/9,2)*(1+C6),2)</f>
        <v>1.67</v>
      </c>
      <c r="F130" s="35">
        <f>ROUND(C130*E130,0)</f>
        <v>0</v>
      </c>
      <c r="G130" s="33" t="s">
        <v>305</v>
      </c>
      <c r="H130" s="5"/>
    </row>
    <row r="131" spans="1:9" s="19" customFormat="1">
      <c r="A131" s="33"/>
      <c r="B131" s="34" t="s">
        <v>202</v>
      </c>
      <c r="C131" s="35"/>
      <c r="D131" s="36" t="s">
        <v>234</v>
      </c>
      <c r="E131" s="37">
        <f>ROUND(ROUND(15.3/9,2)*(1+C6),2)</f>
        <v>1.98</v>
      </c>
      <c r="F131" s="35">
        <f>ROUND(C131*E131,0)</f>
        <v>0</v>
      </c>
      <c r="G131" s="33" t="s">
        <v>306</v>
      </c>
      <c r="H131" s="5"/>
    </row>
    <row r="132" spans="1:9">
      <c r="A132" s="52"/>
      <c r="B132" s="59"/>
      <c r="C132" s="56"/>
      <c r="D132" s="55"/>
      <c r="E132" s="54"/>
      <c r="F132" s="56"/>
      <c r="G132" s="52"/>
      <c r="H132" s="12"/>
    </row>
    <row r="133" spans="1:9" s="19" customFormat="1">
      <c r="A133" s="33"/>
      <c r="B133" s="57" t="s">
        <v>478</v>
      </c>
      <c r="C133" s="35"/>
      <c r="D133" s="36"/>
      <c r="E133" s="37"/>
      <c r="F133" s="35"/>
      <c r="G133" s="33"/>
      <c r="H133" s="25"/>
    </row>
    <row r="134" spans="1:9" s="19" customFormat="1">
      <c r="A134" s="33"/>
      <c r="B134" s="34" t="s">
        <v>481</v>
      </c>
      <c r="C134" s="35"/>
      <c r="D134" s="36" t="s">
        <v>234</v>
      </c>
      <c r="E134" s="37">
        <f>ROUND(11.9*(1+C6),2)</f>
        <v>13.84</v>
      </c>
      <c r="F134" s="35">
        <f>ROUND(C134*E134,0)</f>
        <v>0</v>
      </c>
      <c r="G134" s="33" t="s">
        <v>460</v>
      </c>
      <c r="H134" s="25"/>
    </row>
    <row r="135" spans="1:9" s="19" customFormat="1">
      <c r="A135" s="33"/>
      <c r="B135" s="34" t="s">
        <v>168</v>
      </c>
      <c r="C135" s="35"/>
      <c r="D135" s="36" t="s">
        <v>234</v>
      </c>
      <c r="E135" s="37">
        <f>ROUND(13.55*(1+C6),2)</f>
        <v>15.76</v>
      </c>
      <c r="F135" s="35">
        <f>ROUND(C135*E135,0)</f>
        <v>0</v>
      </c>
      <c r="G135" s="64" t="s">
        <v>459</v>
      </c>
      <c r="H135" s="25"/>
    </row>
    <row r="136" spans="1:9">
      <c r="A136" s="52"/>
      <c r="B136" s="59"/>
      <c r="C136" s="56"/>
      <c r="D136" s="55"/>
      <c r="E136" s="54"/>
      <c r="F136" s="56"/>
      <c r="G136" s="52"/>
      <c r="H136" s="12"/>
    </row>
    <row r="137" spans="1:9" s="19" customFormat="1">
      <c r="A137" s="33" t="s">
        <v>337</v>
      </c>
      <c r="B137" s="34" t="s">
        <v>338</v>
      </c>
      <c r="C137" s="35"/>
      <c r="D137" s="36" t="s">
        <v>234</v>
      </c>
      <c r="E137" s="37">
        <f>ROUND(2.4*(1+C6),2)</f>
        <v>2.79</v>
      </c>
      <c r="F137" s="35">
        <f>ROUND(C137*E137,0)</f>
        <v>0</v>
      </c>
      <c r="G137" s="64" t="s">
        <v>461</v>
      </c>
      <c r="H137" s="25"/>
    </row>
    <row r="138" spans="1:9" s="19" customFormat="1">
      <c r="A138" s="33"/>
      <c r="B138" s="34" t="s">
        <v>339</v>
      </c>
      <c r="C138" s="35"/>
      <c r="D138" s="36" t="s">
        <v>234</v>
      </c>
      <c r="E138" s="37">
        <f>ROUND(0.61*(1+C6),2)</f>
        <v>0.71</v>
      </c>
      <c r="F138" s="35">
        <f>ROUND(C138*E138,0)</f>
        <v>0</v>
      </c>
      <c r="G138" s="64" t="s">
        <v>462</v>
      </c>
      <c r="H138" s="25"/>
    </row>
    <row r="139" spans="1:9">
      <c r="A139" s="52"/>
      <c r="B139" s="59"/>
      <c r="C139" s="56"/>
      <c r="D139" s="55"/>
      <c r="E139" s="54"/>
      <c r="F139" s="56"/>
      <c r="G139" s="52"/>
      <c r="H139" s="12"/>
    </row>
    <row r="140" spans="1:9" s="19" customFormat="1">
      <c r="A140" s="33"/>
      <c r="B140" s="57" t="s">
        <v>12</v>
      </c>
      <c r="C140" s="35"/>
      <c r="D140" s="36"/>
      <c r="E140" s="37"/>
      <c r="F140" s="35"/>
      <c r="G140" s="33"/>
      <c r="H140" s="25"/>
    </row>
    <row r="141" spans="1:9" s="19" customFormat="1">
      <c r="A141" s="33"/>
      <c r="B141" s="34" t="s">
        <v>225</v>
      </c>
      <c r="C141" s="35"/>
      <c r="D141" s="36" t="s">
        <v>234</v>
      </c>
      <c r="E141" s="37">
        <f>ROUND(ROUND(4.42/9,2)*(1+C6),2)</f>
        <v>0.56999999999999995</v>
      </c>
      <c r="F141" s="35">
        <f t="shared" ref="F141:F150" si="0">ROUND(C141*E141,0)</f>
        <v>0</v>
      </c>
      <c r="G141" s="64" t="s">
        <v>463</v>
      </c>
      <c r="H141" s="5" t="s">
        <v>138</v>
      </c>
    </row>
    <row r="142" spans="1:9" s="19" customFormat="1">
      <c r="A142" s="33"/>
      <c r="B142" s="34" t="s">
        <v>443</v>
      </c>
      <c r="C142" s="35"/>
      <c r="D142" s="36" t="s">
        <v>234</v>
      </c>
      <c r="E142" s="37">
        <f>ROUND(E141+((E$144-E$141)/3),2)</f>
        <v>0.7</v>
      </c>
      <c r="F142" s="35">
        <f t="shared" si="0"/>
        <v>0</v>
      </c>
      <c r="G142" s="33"/>
      <c r="H142" s="5" t="s">
        <v>250</v>
      </c>
    </row>
    <row r="143" spans="1:9" s="19" customFormat="1">
      <c r="A143" s="33"/>
      <c r="B143" s="34" t="s">
        <v>345</v>
      </c>
      <c r="C143" s="35"/>
      <c r="D143" s="36" t="s">
        <v>234</v>
      </c>
      <c r="E143" s="37">
        <f>ROUND(E142+((E$144-E$141)/3),2)</f>
        <v>0.83</v>
      </c>
      <c r="F143" s="35">
        <f t="shared" si="0"/>
        <v>0</v>
      </c>
      <c r="G143" s="33"/>
      <c r="H143" s="5" t="s">
        <v>250</v>
      </c>
    </row>
    <row r="144" spans="1:9" s="19" customFormat="1" ht="12" customHeight="1">
      <c r="A144" s="33"/>
      <c r="B144" s="34" t="s">
        <v>376</v>
      </c>
      <c r="C144" s="35"/>
      <c r="D144" s="36" t="s">
        <v>234</v>
      </c>
      <c r="E144" s="37">
        <f>ROUND(ROUND(7.5/9,2)*(1+C6),2)</f>
        <v>0.97</v>
      </c>
      <c r="F144" s="35">
        <f t="shared" si="0"/>
        <v>0</v>
      </c>
      <c r="G144" s="64" t="s">
        <v>464</v>
      </c>
      <c r="H144" s="5" t="s">
        <v>138</v>
      </c>
      <c r="I144" s="1"/>
    </row>
    <row r="145" spans="1:9" s="19" customFormat="1">
      <c r="A145" s="33"/>
      <c r="B145" s="34" t="s">
        <v>498</v>
      </c>
      <c r="C145" s="35"/>
      <c r="D145" s="36" t="s">
        <v>234</v>
      </c>
      <c r="E145" s="37">
        <f>ROUND(E144+((E$147-E$144)/3),2)</f>
        <v>1.1000000000000001</v>
      </c>
      <c r="F145" s="35">
        <f t="shared" si="0"/>
        <v>0</v>
      </c>
      <c r="G145" s="33"/>
      <c r="H145" s="5" t="s">
        <v>251</v>
      </c>
    </row>
    <row r="146" spans="1:9" s="19" customFormat="1">
      <c r="A146" s="33"/>
      <c r="B146" s="34" t="s">
        <v>336</v>
      </c>
      <c r="C146" s="35"/>
      <c r="D146" s="36" t="s">
        <v>234</v>
      </c>
      <c r="E146" s="37">
        <f>ROUND(E145+((E$147-E$144)/3),2)</f>
        <v>1.23</v>
      </c>
      <c r="F146" s="35">
        <f t="shared" si="0"/>
        <v>0</v>
      </c>
      <c r="G146" s="33"/>
      <c r="H146" s="5" t="s">
        <v>251</v>
      </c>
    </row>
    <row r="147" spans="1:9" s="19" customFormat="1" ht="12" customHeight="1">
      <c r="A147" s="33"/>
      <c r="B147" s="34" t="s">
        <v>226</v>
      </c>
      <c r="C147" s="35"/>
      <c r="D147" s="36" t="s">
        <v>234</v>
      </c>
      <c r="E147" s="37">
        <f>ROUND(ROUND(10.65/9,2)*(1+C6),2)</f>
        <v>1.37</v>
      </c>
      <c r="F147" s="35">
        <f t="shared" si="0"/>
        <v>0</v>
      </c>
      <c r="G147" s="64" t="s">
        <v>465</v>
      </c>
      <c r="H147" s="5" t="s">
        <v>138</v>
      </c>
      <c r="I147" s="1"/>
    </row>
    <row r="148" spans="1:9" s="19" customFormat="1" ht="12" customHeight="1">
      <c r="A148" s="33"/>
      <c r="B148" s="34" t="s">
        <v>318</v>
      </c>
      <c r="C148" s="35"/>
      <c r="D148" s="36" t="s">
        <v>234</v>
      </c>
      <c r="E148" s="37">
        <f>ROUND(E147+((E$150-E$147)/3),2)</f>
        <v>1.51</v>
      </c>
      <c r="F148" s="35">
        <f t="shared" si="0"/>
        <v>0</v>
      </c>
      <c r="G148" s="33"/>
      <c r="H148" s="5" t="s">
        <v>100</v>
      </c>
      <c r="I148" s="1"/>
    </row>
    <row r="149" spans="1:9" s="19" customFormat="1" ht="12" customHeight="1">
      <c r="A149" s="33"/>
      <c r="B149" s="34" t="s">
        <v>181</v>
      </c>
      <c r="C149" s="35"/>
      <c r="D149" s="36" t="s">
        <v>234</v>
      </c>
      <c r="E149" s="37">
        <f>ROUND(E148+((E$150-E$147)/3),2)</f>
        <v>1.65</v>
      </c>
      <c r="F149" s="35">
        <f t="shared" si="0"/>
        <v>0</v>
      </c>
      <c r="G149" s="33"/>
      <c r="H149" s="5" t="s">
        <v>100</v>
      </c>
      <c r="I149" s="1"/>
    </row>
    <row r="150" spans="1:9" s="19" customFormat="1" ht="12" customHeight="1">
      <c r="A150" s="33"/>
      <c r="B150" s="34" t="s">
        <v>381</v>
      </c>
      <c r="C150" s="35"/>
      <c r="D150" s="36" t="s">
        <v>234</v>
      </c>
      <c r="E150" s="37">
        <f>ROUND(ROUND(13.85/9,2)*(1+C6),2)</f>
        <v>1.79</v>
      </c>
      <c r="F150" s="35">
        <f t="shared" si="0"/>
        <v>0</v>
      </c>
      <c r="G150" s="64" t="s">
        <v>177</v>
      </c>
      <c r="H150" s="5" t="s">
        <v>138</v>
      </c>
      <c r="I150" s="1"/>
    </row>
    <row r="151" spans="1:9" ht="12" customHeight="1">
      <c r="A151" s="52"/>
      <c r="B151" s="59"/>
      <c r="C151" s="56"/>
      <c r="D151" s="55"/>
      <c r="E151" s="54"/>
      <c r="F151" s="56"/>
      <c r="G151" s="52"/>
      <c r="H151" s="12"/>
      <c r="I151" s="13"/>
    </row>
    <row r="152" spans="1:9" s="19" customFormat="1" ht="12" customHeight="1">
      <c r="A152" s="33"/>
      <c r="B152" s="57" t="s">
        <v>296</v>
      </c>
      <c r="C152" s="35"/>
      <c r="D152" s="36"/>
      <c r="E152" s="37"/>
      <c r="F152" s="35"/>
      <c r="G152" s="33"/>
      <c r="H152" s="25"/>
      <c r="I152" s="1"/>
    </row>
    <row r="153" spans="1:9" s="19" customFormat="1" ht="12" customHeight="1">
      <c r="A153" s="33"/>
      <c r="B153" s="34" t="s">
        <v>32</v>
      </c>
      <c r="C153" s="35"/>
      <c r="D153" s="36" t="s">
        <v>234</v>
      </c>
      <c r="E153" s="37">
        <f>ROUND(ROUND(12.1/9,2)*(1+C6),2)</f>
        <v>1.56</v>
      </c>
      <c r="F153" s="35">
        <f>ROUND(C153*E153,0)</f>
        <v>0</v>
      </c>
      <c r="G153" s="33" t="s">
        <v>475</v>
      </c>
      <c r="H153" s="5"/>
      <c r="I153" s="1"/>
    </row>
    <row r="154" spans="1:9" s="19" customFormat="1" ht="12" customHeight="1">
      <c r="A154" s="33"/>
      <c r="B154" s="34" t="s">
        <v>33</v>
      </c>
      <c r="C154" s="35"/>
      <c r="D154" s="36" t="s">
        <v>234</v>
      </c>
      <c r="E154" s="37">
        <f>ROUND(ROUND(14.65/9,2)*(1+C6),2)</f>
        <v>1.9</v>
      </c>
      <c r="F154" s="35">
        <f>ROUND(C154*E154,0)</f>
        <v>0</v>
      </c>
      <c r="G154" s="33" t="s">
        <v>476</v>
      </c>
      <c r="H154" s="5"/>
      <c r="I154" s="1"/>
    </row>
    <row r="155" spans="1:9" ht="12" customHeight="1">
      <c r="A155" s="52"/>
      <c r="B155" s="59"/>
      <c r="C155" s="56"/>
      <c r="D155" s="55"/>
      <c r="E155" s="54"/>
      <c r="F155" s="56"/>
      <c r="G155" s="52"/>
      <c r="H155" s="12"/>
      <c r="I155" s="13"/>
    </row>
    <row r="156" spans="1:9" s="19" customFormat="1" ht="12" customHeight="1">
      <c r="A156" s="33"/>
      <c r="B156" s="34" t="s">
        <v>179</v>
      </c>
      <c r="C156" s="35"/>
      <c r="D156" s="36" t="s">
        <v>234</v>
      </c>
      <c r="E156" s="37">
        <f>ROUND(4.39*(1+C6),2)</f>
        <v>5.1100000000000003</v>
      </c>
      <c r="F156" s="35">
        <f>ROUND(C156*E156,0)</f>
        <v>0</v>
      </c>
      <c r="G156" s="33" t="s">
        <v>477</v>
      </c>
      <c r="H156" s="25"/>
      <c r="I156" s="1"/>
    </row>
    <row r="157" spans="1:9" s="19" customFormat="1" ht="12" customHeight="1">
      <c r="A157" s="33"/>
      <c r="B157" s="34" t="s">
        <v>178</v>
      </c>
      <c r="C157" s="35"/>
      <c r="D157" s="36" t="s">
        <v>234</v>
      </c>
      <c r="E157" s="37">
        <f>ROUND(5.25*(1+C6),2)</f>
        <v>6.11</v>
      </c>
      <c r="F157" s="35">
        <f>ROUND(C157*E157,0)</f>
        <v>0</v>
      </c>
      <c r="G157" s="33" t="s">
        <v>548</v>
      </c>
      <c r="H157" s="25"/>
      <c r="I157" s="1"/>
    </row>
    <row r="158" spans="1:9" s="19" customFormat="1" ht="12" customHeight="1">
      <c r="A158" s="33"/>
      <c r="B158" s="34" t="s">
        <v>479</v>
      </c>
      <c r="C158" s="35"/>
      <c r="D158" s="36" t="s">
        <v>234</v>
      </c>
      <c r="E158" s="37">
        <f>ROUND(5.85*(1+C6),2)</f>
        <v>6.8</v>
      </c>
      <c r="F158" s="35">
        <f>ROUND(C158*E158,0)</f>
        <v>0</v>
      </c>
      <c r="G158" s="33" t="s">
        <v>549</v>
      </c>
      <c r="H158" s="25"/>
      <c r="I158" s="1"/>
    </row>
    <row r="159" spans="1:9" ht="12" customHeight="1">
      <c r="A159" s="52"/>
      <c r="B159" s="59"/>
      <c r="C159" s="56"/>
      <c r="D159" s="55"/>
      <c r="E159" s="54"/>
      <c r="F159" s="56"/>
      <c r="G159" s="52"/>
      <c r="H159" s="12"/>
      <c r="I159" s="13"/>
    </row>
    <row r="160" spans="1:9" s="19" customFormat="1" ht="12" customHeight="1">
      <c r="A160" s="33"/>
      <c r="B160" s="57" t="s">
        <v>317</v>
      </c>
      <c r="C160" s="35"/>
      <c r="D160" s="36"/>
      <c r="E160" s="37"/>
      <c r="F160" s="35"/>
      <c r="G160" s="33"/>
      <c r="H160" s="25"/>
      <c r="I160" s="1"/>
    </row>
    <row r="161" spans="1:9" s="19" customFormat="1" ht="12" customHeight="1">
      <c r="A161" s="33"/>
      <c r="B161" s="34" t="s">
        <v>127</v>
      </c>
      <c r="C161" s="35"/>
      <c r="D161" s="36" t="s">
        <v>182</v>
      </c>
      <c r="E161" s="37">
        <f>ROUND(ROUND(5.65*1.33,2)*(1+C6),2)</f>
        <v>8.73</v>
      </c>
      <c r="F161" s="35">
        <f t="shared" ref="F161:F166" si="1">ROUND(C161*E161,0)</f>
        <v>0</v>
      </c>
      <c r="G161" s="33" t="s">
        <v>550</v>
      </c>
      <c r="H161" s="5" t="s">
        <v>47</v>
      </c>
      <c r="I161" s="1"/>
    </row>
    <row r="162" spans="1:9" s="19" customFormat="1">
      <c r="A162" s="33"/>
      <c r="B162" s="34" t="s">
        <v>18</v>
      </c>
      <c r="C162" s="35"/>
      <c r="D162" s="36" t="s">
        <v>182</v>
      </c>
      <c r="E162" s="37">
        <f>ROUND(ROUND(7.95*1.33,2)*(1+C6),2)</f>
        <v>12.29</v>
      </c>
      <c r="F162" s="35">
        <f t="shared" si="1"/>
        <v>0</v>
      </c>
      <c r="G162" s="33" t="s">
        <v>551</v>
      </c>
      <c r="H162" s="5" t="s">
        <v>52</v>
      </c>
    </row>
    <row r="163" spans="1:9" s="19" customFormat="1">
      <c r="A163" s="33"/>
      <c r="B163" s="34" t="s">
        <v>19</v>
      </c>
      <c r="C163" s="35"/>
      <c r="D163" s="36" t="s">
        <v>182</v>
      </c>
      <c r="E163" s="37">
        <f>ROUND(ROUND(12.1*1.33,2)*(1+C6),2)</f>
        <v>18.71</v>
      </c>
      <c r="F163" s="35">
        <f t="shared" si="1"/>
        <v>0</v>
      </c>
      <c r="G163" s="33" t="s">
        <v>319</v>
      </c>
      <c r="H163" s="5" t="s">
        <v>51</v>
      </c>
    </row>
    <row r="164" spans="1:9" s="19" customFormat="1">
      <c r="A164" s="33"/>
      <c r="B164" s="34" t="s">
        <v>129</v>
      </c>
      <c r="C164" s="35"/>
      <c r="D164" s="36" t="s">
        <v>182</v>
      </c>
      <c r="E164" s="37">
        <f>ROUND(ROUND(18.5*1.33,2)*(1+C6),2)</f>
        <v>28.62</v>
      </c>
      <c r="F164" s="35">
        <f t="shared" si="1"/>
        <v>0</v>
      </c>
      <c r="G164" s="33" t="s">
        <v>320</v>
      </c>
      <c r="H164" s="5" t="s">
        <v>50</v>
      </c>
    </row>
    <row r="165" spans="1:9" s="19" customFormat="1">
      <c r="A165" s="33"/>
      <c r="B165" s="34" t="s">
        <v>130</v>
      </c>
      <c r="C165" s="35"/>
      <c r="D165" s="36" t="s">
        <v>182</v>
      </c>
      <c r="E165" s="37">
        <f>ROUND(ROUND(20*1.33,2)*(1+C6),2)</f>
        <v>30.94</v>
      </c>
      <c r="F165" s="35">
        <f t="shared" si="1"/>
        <v>0</v>
      </c>
      <c r="G165" s="33" t="s">
        <v>321</v>
      </c>
      <c r="H165" s="5" t="s">
        <v>49</v>
      </c>
    </row>
    <row r="166" spans="1:9" s="19" customFormat="1">
      <c r="A166" s="33"/>
      <c r="B166" s="34" t="s">
        <v>316</v>
      </c>
      <c r="C166" s="35"/>
      <c r="D166" s="36" t="s">
        <v>182</v>
      </c>
      <c r="E166" s="37">
        <f>ROUND(ROUND(22.5*1.33,2)*(1+C6),2)</f>
        <v>34.81</v>
      </c>
      <c r="F166" s="35">
        <f t="shared" si="1"/>
        <v>0</v>
      </c>
      <c r="G166" s="33" t="s">
        <v>322</v>
      </c>
      <c r="H166" s="5" t="s">
        <v>48</v>
      </c>
    </row>
    <row r="167" spans="1:9">
      <c r="A167" s="52"/>
      <c r="B167" s="60"/>
      <c r="C167" s="56"/>
      <c r="D167" s="55"/>
      <c r="E167" s="54"/>
      <c r="F167" s="56"/>
      <c r="G167" s="52"/>
      <c r="H167" s="7"/>
    </row>
    <row r="168" spans="1:9" s="19" customFormat="1">
      <c r="A168" s="33"/>
      <c r="B168" s="34" t="s">
        <v>174</v>
      </c>
      <c r="C168" s="35"/>
      <c r="D168" s="36" t="s">
        <v>182</v>
      </c>
      <c r="E168" s="37">
        <f>ROUND(ROUND(19.4*1.33,2)*(1+C6),2)</f>
        <v>30.01</v>
      </c>
      <c r="F168" s="35">
        <f>ROUND(C168*E168,0)</f>
        <v>0</v>
      </c>
      <c r="G168" s="33" t="s">
        <v>323</v>
      </c>
      <c r="H168" s="5" t="s">
        <v>53</v>
      </c>
    </row>
    <row r="169" spans="1:9" s="19" customFormat="1">
      <c r="A169" s="33"/>
      <c r="B169" s="34" t="s">
        <v>314</v>
      </c>
      <c r="C169" s="35"/>
      <c r="D169" s="36" t="s">
        <v>182</v>
      </c>
      <c r="E169" s="37">
        <f>ROUND(ROUND(22.5*1.33,2)*(1+C6),2)</f>
        <v>34.81</v>
      </c>
      <c r="F169" s="35">
        <f t="shared" ref="F169:F178" si="2">ROUND(C169*E169,0)</f>
        <v>0</v>
      </c>
      <c r="G169" s="33" t="s">
        <v>324</v>
      </c>
      <c r="H169" s="5" t="s">
        <v>54</v>
      </c>
    </row>
    <row r="170" spans="1:9" s="19" customFormat="1">
      <c r="A170" s="33"/>
      <c r="B170" s="34" t="s">
        <v>468</v>
      </c>
      <c r="C170" s="35"/>
      <c r="D170" s="36" t="s">
        <v>182</v>
      </c>
      <c r="E170" s="37">
        <f>ROUND(ROUND(27.5*1.33,2)*(1+C6),2)</f>
        <v>42.54</v>
      </c>
      <c r="F170" s="35">
        <f t="shared" si="2"/>
        <v>0</v>
      </c>
      <c r="G170" s="33" t="s">
        <v>325</v>
      </c>
      <c r="H170" s="5" t="s">
        <v>55</v>
      </c>
    </row>
    <row r="171" spans="1:9" s="19" customFormat="1">
      <c r="A171" s="33"/>
      <c r="B171" s="34" t="s">
        <v>467</v>
      </c>
      <c r="C171" s="35"/>
      <c r="D171" s="36" t="s">
        <v>182</v>
      </c>
      <c r="E171" s="37">
        <f>ROUND(ROUND(33*1.33,2)*(1+C6),2)</f>
        <v>51.04</v>
      </c>
      <c r="F171" s="35">
        <f t="shared" si="2"/>
        <v>0</v>
      </c>
      <c r="G171" s="33" t="s">
        <v>326</v>
      </c>
      <c r="H171" s="5" t="s">
        <v>56</v>
      </c>
    </row>
    <row r="172" spans="1:9" s="19" customFormat="1">
      <c r="A172" s="33"/>
      <c r="B172" s="34" t="s">
        <v>483</v>
      </c>
      <c r="C172" s="35"/>
      <c r="D172" s="36" t="s">
        <v>182</v>
      </c>
      <c r="E172" s="37">
        <f>ROUND(ROUND(35.5*1.33,2)*(1+C6),2)</f>
        <v>54.92</v>
      </c>
      <c r="F172" s="35">
        <f t="shared" si="2"/>
        <v>0</v>
      </c>
      <c r="G172" s="33" t="s">
        <v>327</v>
      </c>
      <c r="H172" s="5" t="s">
        <v>57</v>
      </c>
    </row>
    <row r="173" spans="1:9" s="19" customFormat="1">
      <c r="A173" s="33"/>
      <c r="B173" s="34" t="s">
        <v>175</v>
      </c>
      <c r="C173" s="35"/>
      <c r="D173" s="36" t="s">
        <v>182</v>
      </c>
      <c r="E173" s="37">
        <f>ROUND(ROUND(44*1.33,2)*(1+C6),2)</f>
        <v>68.06</v>
      </c>
      <c r="F173" s="35">
        <f t="shared" si="2"/>
        <v>0</v>
      </c>
      <c r="G173" s="33" t="s">
        <v>328</v>
      </c>
      <c r="H173" s="5" t="s">
        <v>58</v>
      </c>
    </row>
    <row r="174" spans="1:9" s="19" customFormat="1">
      <c r="A174" s="33"/>
      <c r="B174" s="34" t="s">
        <v>176</v>
      </c>
      <c r="C174" s="35"/>
      <c r="D174" s="36" t="s">
        <v>182</v>
      </c>
      <c r="E174" s="37">
        <f>ROUND(ROUND(66*1.33,2)*(1+C6),2)</f>
        <v>102.09</v>
      </c>
      <c r="F174" s="35">
        <f t="shared" si="2"/>
        <v>0</v>
      </c>
      <c r="G174" s="33" t="s">
        <v>329</v>
      </c>
      <c r="H174" s="5" t="s">
        <v>59</v>
      </c>
    </row>
    <row r="175" spans="1:9" s="19" customFormat="1">
      <c r="A175" s="33"/>
      <c r="B175" s="34" t="s">
        <v>172</v>
      </c>
      <c r="C175" s="35"/>
      <c r="D175" s="36" t="s">
        <v>182</v>
      </c>
      <c r="E175" s="37">
        <f>ROUND(ROUND(74.5*1.33,2)*(1+C6),2)</f>
        <v>115.24</v>
      </c>
      <c r="F175" s="35">
        <f t="shared" si="2"/>
        <v>0</v>
      </c>
      <c r="G175" s="33" t="s">
        <v>330</v>
      </c>
      <c r="H175" s="5" t="s">
        <v>60</v>
      </c>
    </row>
    <row r="176" spans="1:9" s="19" customFormat="1">
      <c r="A176" s="33"/>
      <c r="B176" s="34" t="s">
        <v>421</v>
      </c>
      <c r="C176" s="35"/>
      <c r="D176" s="36" t="s">
        <v>182</v>
      </c>
      <c r="E176" s="37">
        <f>ROUND(ROUND(100*1.33,2)*(1+C6),2)</f>
        <v>154.68</v>
      </c>
      <c r="F176" s="35">
        <f t="shared" si="2"/>
        <v>0</v>
      </c>
      <c r="G176" s="33" t="s">
        <v>491</v>
      </c>
      <c r="H176" s="5" t="s">
        <v>61</v>
      </c>
    </row>
    <row r="177" spans="1:9" s="19" customFormat="1">
      <c r="A177" s="33"/>
      <c r="B177" s="34" t="s">
        <v>13</v>
      </c>
      <c r="C177" s="35"/>
      <c r="D177" s="36" t="s">
        <v>182</v>
      </c>
      <c r="E177" s="37">
        <f>ROUND(ROUND(150*1.33,2)*(1+C6),2)</f>
        <v>232.02</v>
      </c>
      <c r="F177" s="35">
        <f t="shared" si="2"/>
        <v>0</v>
      </c>
      <c r="G177" s="33" t="s">
        <v>492</v>
      </c>
      <c r="H177" s="5" t="s">
        <v>62</v>
      </c>
    </row>
    <row r="178" spans="1:9" s="19" customFormat="1">
      <c r="A178" s="33"/>
      <c r="B178" s="34" t="s">
        <v>14</v>
      </c>
      <c r="C178" s="35"/>
      <c r="D178" s="36" t="s">
        <v>182</v>
      </c>
      <c r="E178" s="37">
        <f>ROUND(ROUND(209*1.33,2)*(1+C6),2)</f>
        <v>323.27999999999997</v>
      </c>
      <c r="F178" s="35">
        <f t="shared" si="2"/>
        <v>0</v>
      </c>
      <c r="G178" s="33" t="s">
        <v>493</v>
      </c>
      <c r="H178" s="5" t="s">
        <v>63</v>
      </c>
      <c r="I178" s="31"/>
    </row>
    <row r="179" spans="1:9">
      <c r="A179" s="52"/>
      <c r="B179" s="60"/>
      <c r="C179" s="56"/>
      <c r="D179" s="55"/>
      <c r="E179" s="54"/>
      <c r="F179" s="56"/>
      <c r="G179" s="52"/>
      <c r="H179" s="54"/>
    </row>
    <row r="180" spans="1:9" s="38" customFormat="1">
      <c r="A180" s="33"/>
      <c r="B180" s="34" t="s">
        <v>173</v>
      </c>
      <c r="C180" s="35"/>
      <c r="D180" s="36" t="s">
        <v>402</v>
      </c>
      <c r="E180" s="37">
        <f>ROUND(ROUND(211*1.33,2)*(1+C6),2)</f>
        <v>326.37</v>
      </c>
      <c r="F180" s="35">
        <f t="shared" ref="F180:F190" si="3">ROUND(C180*E180,0)</f>
        <v>0</v>
      </c>
      <c r="G180" s="33" t="s">
        <v>494</v>
      </c>
      <c r="H180" s="37" t="s">
        <v>64</v>
      </c>
    </row>
    <row r="181" spans="1:9" s="19" customFormat="1">
      <c r="A181" s="33"/>
      <c r="B181" s="34" t="s">
        <v>189</v>
      </c>
      <c r="C181" s="35"/>
      <c r="D181" s="36" t="s">
        <v>402</v>
      </c>
      <c r="E181" s="37">
        <f>ROUND(ROUND(229*1.33,2)*(1+C6),2)</f>
        <v>354.21</v>
      </c>
      <c r="F181" s="35">
        <f t="shared" si="3"/>
        <v>0</v>
      </c>
      <c r="G181" s="33" t="s">
        <v>495</v>
      </c>
      <c r="H181" s="5" t="s">
        <v>65</v>
      </c>
    </row>
    <row r="182" spans="1:9" s="19" customFormat="1">
      <c r="A182" s="33"/>
      <c r="B182" s="34" t="s">
        <v>190</v>
      </c>
      <c r="C182" s="35"/>
      <c r="D182" s="36" t="s">
        <v>402</v>
      </c>
      <c r="E182" s="37">
        <f>ROUND(ROUND(315*1.33,2)*(1+C6),2)</f>
        <v>487.24</v>
      </c>
      <c r="F182" s="35">
        <f t="shared" si="3"/>
        <v>0</v>
      </c>
      <c r="G182" s="33" t="s">
        <v>496</v>
      </c>
      <c r="H182" s="5" t="s">
        <v>66</v>
      </c>
    </row>
    <row r="183" spans="1:9" s="19" customFormat="1">
      <c r="A183" s="33"/>
      <c r="B183" s="34" t="s">
        <v>191</v>
      </c>
      <c r="C183" s="35"/>
      <c r="D183" s="36" t="s">
        <v>402</v>
      </c>
      <c r="E183" s="37">
        <f>ROUND(ROUND(410*1.33,2)*(1+C6),2)</f>
        <v>634.17999999999995</v>
      </c>
      <c r="F183" s="35">
        <f t="shared" si="3"/>
        <v>0</v>
      </c>
      <c r="G183" s="33" t="s">
        <v>497</v>
      </c>
      <c r="H183" s="5" t="s">
        <v>67</v>
      </c>
    </row>
    <row r="184" spans="1:9" s="19" customFormat="1">
      <c r="A184" s="33"/>
      <c r="B184" s="34" t="s">
        <v>192</v>
      </c>
      <c r="C184" s="35"/>
      <c r="D184" s="36" t="s">
        <v>402</v>
      </c>
      <c r="E184" s="37">
        <f>ROUND(ROUND(470*1.33,2)*(1+C6),2)</f>
        <v>726.99</v>
      </c>
      <c r="F184" s="35">
        <f t="shared" si="3"/>
        <v>0</v>
      </c>
      <c r="G184" s="33" t="s">
        <v>527</v>
      </c>
      <c r="H184" s="5" t="s">
        <v>68</v>
      </c>
    </row>
    <row r="185" spans="1:9" s="19" customFormat="1">
      <c r="A185" s="33"/>
      <c r="B185" s="34" t="s">
        <v>249</v>
      </c>
      <c r="C185" s="35"/>
      <c r="D185" s="36" t="s">
        <v>402</v>
      </c>
      <c r="E185" s="37">
        <f>ROUND(ROUND(575*1.33,2)*(1+C6),2)</f>
        <v>889.4</v>
      </c>
      <c r="F185" s="35">
        <f t="shared" si="3"/>
        <v>0</v>
      </c>
      <c r="G185" s="33" t="s">
        <v>528</v>
      </c>
      <c r="H185" s="5" t="s">
        <v>69</v>
      </c>
    </row>
    <row r="186" spans="1:9" s="19" customFormat="1">
      <c r="A186" s="33"/>
      <c r="B186" s="34" t="s">
        <v>399</v>
      </c>
      <c r="C186" s="35"/>
      <c r="D186" s="36" t="s">
        <v>402</v>
      </c>
      <c r="E186" s="37">
        <f>ROUND(ROUND(840*1.33,2)*(1+C6),2)</f>
        <v>1299.3</v>
      </c>
      <c r="F186" s="35">
        <f t="shared" si="3"/>
        <v>0</v>
      </c>
      <c r="G186" s="33" t="s">
        <v>367</v>
      </c>
      <c r="H186" s="5" t="s">
        <v>70</v>
      </c>
    </row>
    <row r="187" spans="1:9" s="19" customFormat="1">
      <c r="A187" s="33"/>
      <c r="B187" s="34" t="s">
        <v>22</v>
      </c>
      <c r="C187" s="35"/>
      <c r="D187" s="36" t="s">
        <v>402</v>
      </c>
      <c r="E187" s="37">
        <f>ROUND(ROUND(1100*1.33,2)*(1+C6),2)</f>
        <v>1701.47</v>
      </c>
      <c r="F187" s="35">
        <f t="shared" si="3"/>
        <v>0</v>
      </c>
      <c r="G187" s="33" t="s">
        <v>368</v>
      </c>
      <c r="H187" s="5" t="s">
        <v>71</v>
      </c>
    </row>
    <row r="188" spans="1:9" s="19" customFormat="1">
      <c r="A188" s="33"/>
      <c r="B188" s="34" t="s">
        <v>23</v>
      </c>
      <c r="C188" s="35"/>
      <c r="D188" s="36" t="s">
        <v>402</v>
      </c>
      <c r="E188" s="37">
        <f>ROUND(ROUND(2450*1.33,2)*(1+C6),2)</f>
        <v>3789.64</v>
      </c>
      <c r="F188" s="35">
        <f t="shared" si="3"/>
        <v>0</v>
      </c>
      <c r="G188" s="33" t="s">
        <v>369</v>
      </c>
      <c r="H188" s="5" t="s">
        <v>72</v>
      </c>
    </row>
    <row r="189" spans="1:9" s="19" customFormat="1">
      <c r="A189" s="33"/>
      <c r="B189" s="34" t="s">
        <v>101</v>
      </c>
      <c r="C189" s="35"/>
      <c r="D189" s="36" t="s">
        <v>402</v>
      </c>
      <c r="E189" s="37">
        <f>ROUND(ROUND(2850*1.33,2)*(1+C6),2)</f>
        <v>4408.3500000000004</v>
      </c>
      <c r="F189" s="35">
        <f t="shared" si="3"/>
        <v>0</v>
      </c>
      <c r="G189" s="33" t="s">
        <v>370</v>
      </c>
      <c r="H189" s="5" t="s">
        <v>73</v>
      </c>
    </row>
    <row r="190" spans="1:9" s="19" customFormat="1">
      <c r="A190" s="33"/>
      <c r="B190" s="34" t="s">
        <v>401</v>
      </c>
      <c r="C190" s="35"/>
      <c r="D190" s="36" t="s">
        <v>402</v>
      </c>
      <c r="E190" s="37">
        <f>ROUND(ROUND(4375*1.33,2)*(1+C6),2)</f>
        <v>6767.21</v>
      </c>
      <c r="F190" s="35">
        <f t="shared" si="3"/>
        <v>0</v>
      </c>
      <c r="G190" s="33" t="s">
        <v>371</v>
      </c>
      <c r="H190" s="5" t="s">
        <v>74</v>
      </c>
    </row>
    <row r="191" spans="1:9" s="19" customFormat="1">
      <c r="A191" s="33"/>
      <c r="B191" s="34"/>
      <c r="C191" s="35"/>
      <c r="D191" s="36"/>
      <c r="E191" s="37"/>
      <c r="F191" s="35"/>
      <c r="G191" s="33"/>
      <c r="H191" s="5"/>
    </row>
    <row r="192" spans="1:9">
      <c r="A192" s="52"/>
      <c r="B192" s="34" t="s">
        <v>372</v>
      </c>
      <c r="C192" s="35"/>
      <c r="D192" s="36" t="s">
        <v>182</v>
      </c>
      <c r="E192" s="37">
        <f>ROUND(ROUND(4.47*1.33,2)*(1+C6),2)</f>
        <v>6.92</v>
      </c>
      <c r="F192" s="35">
        <f>ROUND(C192*E192,0)</f>
        <v>0</v>
      </c>
      <c r="G192" s="33" t="s">
        <v>373</v>
      </c>
      <c r="H192" s="5" t="s">
        <v>75</v>
      </c>
    </row>
    <row r="193" spans="1:8" s="19" customFormat="1">
      <c r="A193" s="33"/>
      <c r="B193" s="34" t="s">
        <v>360</v>
      </c>
      <c r="C193" s="35"/>
      <c r="D193" s="36" t="s">
        <v>182</v>
      </c>
      <c r="E193" s="37">
        <f>ROUND(ROUND(5.95*1.33,2)*(1+C6),2)</f>
        <v>9.1999999999999993</v>
      </c>
      <c r="F193" s="35">
        <f>ROUND(C193*E193,0)</f>
        <v>0</v>
      </c>
      <c r="G193" s="33" t="s">
        <v>374</v>
      </c>
      <c r="H193" s="5" t="s">
        <v>76</v>
      </c>
    </row>
    <row r="194" spans="1:8" s="19" customFormat="1">
      <c r="A194" s="33"/>
      <c r="B194" s="34" t="s">
        <v>206</v>
      </c>
      <c r="C194" s="35"/>
      <c r="D194" s="36" t="s">
        <v>182</v>
      </c>
      <c r="E194" s="37">
        <f>ROUND(ROUND(8.4*1.33,2)*(1+C6),2)</f>
        <v>12.99</v>
      </c>
      <c r="F194" s="35">
        <f t="shared" ref="F194:F205" si="4">ROUND(C194*E194,0)</f>
        <v>0</v>
      </c>
      <c r="G194" s="33" t="s">
        <v>535</v>
      </c>
      <c r="H194" s="5" t="s">
        <v>77</v>
      </c>
    </row>
    <row r="195" spans="1:8" s="19" customFormat="1">
      <c r="A195" s="33"/>
      <c r="B195" s="34" t="s">
        <v>207</v>
      </c>
      <c r="C195" s="35"/>
      <c r="D195" s="36" t="s">
        <v>182</v>
      </c>
      <c r="E195" s="37">
        <f>ROUND(ROUND(10.45*1.33,2)*(1+C6),2)</f>
        <v>16.170000000000002</v>
      </c>
      <c r="F195" s="35">
        <f t="shared" si="4"/>
        <v>0</v>
      </c>
      <c r="G195" s="33" t="s">
        <v>536</v>
      </c>
      <c r="H195" s="5" t="s">
        <v>78</v>
      </c>
    </row>
    <row r="196" spans="1:8" s="19" customFormat="1">
      <c r="A196" s="33"/>
      <c r="B196" s="34" t="s">
        <v>362</v>
      </c>
      <c r="C196" s="35"/>
      <c r="D196" s="36" t="s">
        <v>182</v>
      </c>
      <c r="E196" s="37">
        <f>ROUND(ROUND(11.5*1.33,2)*(1+C6),2)</f>
        <v>17.79</v>
      </c>
      <c r="F196" s="35">
        <f t="shared" si="4"/>
        <v>0</v>
      </c>
      <c r="G196" s="33" t="s">
        <v>537</v>
      </c>
      <c r="H196" s="5" t="s">
        <v>79</v>
      </c>
    </row>
    <row r="197" spans="1:8" s="19" customFormat="1">
      <c r="A197" s="33"/>
      <c r="B197" s="34" t="s">
        <v>363</v>
      </c>
      <c r="C197" s="35"/>
      <c r="D197" s="36" t="s">
        <v>182</v>
      </c>
      <c r="E197" s="37">
        <f>ROUND(ROUND(13.45*1.33,2)*(1+C6),2)</f>
        <v>20.81</v>
      </c>
      <c r="F197" s="35">
        <f t="shared" si="4"/>
        <v>0</v>
      </c>
      <c r="G197" s="33" t="s">
        <v>538</v>
      </c>
      <c r="H197" s="5" t="s">
        <v>80</v>
      </c>
    </row>
    <row r="198" spans="1:8" s="19" customFormat="1">
      <c r="A198" s="33"/>
      <c r="B198" s="34" t="s">
        <v>210</v>
      </c>
      <c r="C198" s="35"/>
      <c r="D198" s="36" t="s">
        <v>182</v>
      </c>
      <c r="E198" s="37">
        <f>ROUND(ROUND(20.5*1.33,2)*(1+C6),2)</f>
        <v>31.72</v>
      </c>
      <c r="F198" s="35">
        <f t="shared" si="4"/>
        <v>0</v>
      </c>
      <c r="G198" s="33" t="s">
        <v>377</v>
      </c>
      <c r="H198" s="5" t="s">
        <v>81</v>
      </c>
    </row>
    <row r="199" spans="1:8" s="19" customFormat="1">
      <c r="A199" s="33"/>
      <c r="B199" s="34" t="s">
        <v>211</v>
      </c>
      <c r="C199" s="35"/>
      <c r="D199" s="36" t="s">
        <v>182</v>
      </c>
      <c r="E199" s="37">
        <f>ROUND(ROUND(25.5*1.33,2)*(1+C6),2)</f>
        <v>39.450000000000003</v>
      </c>
      <c r="F199" s="35">
        <f t="shared" si="4"/>
        <v>0</v>
      </c>
      <c r="G199" s="33" t="s">
        <v>378</v>
      </c>
      <c r="H199" s="5" t="s">
        <v>82</v>
      </c>
    </row>
    <row r="200" spans="1:8" s="19" customFormat="1">
      <c r="A200" s="33"/>
      <c r="B200" s="34" t="s">
        <v>346</v>
      </c>
      <c r="C200" s="35"/>
      <c r="D200" s="36" t="s">
        <v>182</v>
      </c>
      <c r="E200" s="37">
        <f>ROUND(ROUND(33*1.33,2)*(1+C6),2)</f>
        <v>51.04</v>
      </c>
      <c r="F200" s="35">
        <f t="shared" si="4"/>
        <v>0</v>
      </c>
      <c r="G200" s="33" t="s">
        <v>379</v>
      </c>
      <c r="H200" s="5" t="s">
        <v>83</v>
      </c>
    </row>
    <row r="201" spans="1:8" s="19" customFormat="1">
      <c r="A201" s="33"/>
      <c r="B201" s="34" t="s">
        <v>232</v>
      </c>
      <c r="C201" s="35"/>
      <c r="D201" s="36" t="s">
        <v>182</v>
      </c>
      <c r="E201" s="37">
        <f>ROUND(ROUND(42*1.33,2)*(1+C6),2)</f>
        <v>64.97</v>
      </c>
      <c r="F201" s="35">
        <f t="shared" si="4"/>
        <v>0</v>
      </c>
      <c r="G201" s="33" t="s">
        <v>380</v>
      </c>
      <c r="H201" s="5" t="s">
        <v>84</v>
      </c>
    </row>
    <row r="202" spans="1:8" s="19" customFormat="1">
      <c r="A202" s="33"/>
      <c r="B202" s="34" t="s">
        <v>347</v>
      </c>
      <c r="C202" s="35"/>
      <c r="D202" s="36" t="s">
        <v>182</v>
      </c>
      <c r="E202" s="37">
        <f>ROUND(ROUND(53.5*1.33,2)*(1+C6),2)</f>
        <v>82.76</v>
      </c>
      <c r="F202" s="35">
        <f>ROUND(C202*E202,0)</f>
        <v>0</v>
      </c>
      <c r="G202" s="33" t="s">
        <v>542</v>
      </c>
      <c r="H202" s="5" t="s">
        <v>60</v>
      </c>
    </row>
    <row r="203" spans="1:8" s="19" customFormat="1">
      <c r="A203" s="33"/>
      <c r="B203" s="34" t="s">
        <v>254</v>
      </c>
      <c r="C203" s="35"/>
      <c r="D203" s="36" t="s">
        <v>182</v>
      </c>
      <c r="E203" s="37">
        <f>ROUND(ROUND(62.5*1.33,2)*(1+C6),2)</f>
        <v>96.68</v>
      </c>
      <c r="F203" s="35">
        <f t="shared" si="4"/>
        <v>0</v>
      </c>
      <c r="G203" s="33" t="s">
        <v>543</v>
      </c>
      <c r="H203" s="5" t="s">
        <v>85</v>
      </c>
    </row>
    <row r="204" spans="1:8" s="19" customFormat="1">
      <c r="A204" s="33"/>
      <c r="B204" s="34" t="s">
        <v>16</v>
      </c>
      <c r="C204" s="35"/>
      <c r="D204" s="36" t="s">
        <v>182</v>
      </c>
      <c r="E204" s="37">
        <f>ROUND(ROUND(105*1.33,2)*(1+C6),2)</f>
        <v>162.41</v>
      </c>
      <c r="F204" s="35">
        <f t="shared" si="4"/>
        <v>0</v>
      </c>
      <c r="G204" s="33" t="s">
        <v>544</v>
      </c>
      <c r="H204" s="5" t="s">
        <v>86</v>
      </c>
    </row>
    <row r="205" spans="1:8" s="19" customFormat="1">
      <c r="A205" s="33"/>
      <c r="B205" s="34" t="s">
        <v>17</v>
      </c>
      <c r="C205" s="35"/>
      <c r="D205" s="36" t="s">
        <v>182</v>
      </c>
      <c r="E205" s="37">
        <f>ROUND(ROUND(149*1.33,2)*(1+C6),2)</f>
        <v>230.47</v>
      </c>
      <c r="F205" s="35">
        <f t="shared" si="4"/>
        <v>0</v>
      </c>
      <c r="G205" s="33" t="s">
        <v>545</v>
      </c>
      <c r="H205" s="5" t="s">
        <v>87</v>
      </c>
    </row>
    <row r="206" spans="1:8">
      <c r="A206" s="52"/>
      <c r="B206" s="53"/>
      <c r="C206" s="56"/>
      <c r="D206" s="55"/>
      <c r="E206" s="54"/>
      <c r="F206" s="56"/>
      <c r="G206" s="52"/>
      <c r="H206" s="7"/>
    </row>
    <row r="207" spans="1:8" s="38" customFormat="1">
      <c r="A207" s="33"/>
      <c r="B207" s="34" t="s">
        <v>131</v>
      </c>
      <c r="C207" s="35"/>
      <c r="D207" s="36" t="s">
        <v>182</v>
      </c>
      <c r="E207" s="37">
        <f>ROUND(ROUND(24*1.33,2)*(1+C$6),2)</f>
        <v>37.119999999999997</v>
      </c>
      <c r="F207" s="35">
        <f>ROUND(C207*E207,0)</f>
        <v>0</v>
      </c>
      <c r="G207" s="33" t="s">
        <v>546</v>
      </c>
      <c r="H207" s="37" t="s">
        <v>88</v>
      </c>
    </row>
    <row r="208" spans="1:8" s="19" customFormat="1">
      <c r="A208" s="33"/>
      <c r="B208" s="34" t="s">
        <v>132</v>
      </c>
      <c r="C208" s="35"/>
      <c r="D208" s="36" t="s">
        <v>182</v>
      </c>
      <c r="E208" s="37">
        <f>ROUND(ROUND(28*1.33,2)*(1+C$6),2)</f>
        <v>43.31</v>
      </c>
      <c r="F208" s="35">
        <f t="shared" ref="F208:F214" si="5">ROUND(C208*E208,0)</f>
        <v>0</v>
      </c>
      <c r="G208" s="33" t="s">
        <v>547</v>
      </c>
      <c r="H208" s="5" t="s">
        <v>89</v>
      </c>
    </row>
    <row r="209" spans="1:8" s="19" customFormat="1">
      <c r="A209" s="33"/>
      <c r="B209" s="34" t="s">
        <v>133</v>
      </c>
      <c r="C209" s="35"/>
      <c r="D209" s="36" t="s">
        <v>182</v>
      </c>
      <c r="E209" s="37">
        <f>ROUND(ROUND(33.5*1.33,2)*(1+C$6),2)</f>
        <v>51.82</v>
      </c>
      <c r="F209" s="35">
        <f t="shared" si="5"/>
        <v>0</v>
      </c>
      <c r="G209" s="33" t="s">
        <v>392</v>
      </c>
      <c r="H209" s="5" t="s">
        <v>90</v>
      </c>
    </row>
    <row r="210" spans="1:8" s="19" customFormat="1">
      <c r="A210" s="33"/>
      <c r="B210" s="34" t="s">
        <v>331</v>
      </c>
      <c r="C210" s="35"/>
      <c r="D210" s="36" t="s">
        <v>182</v>
      </c>
      <c r="E210" s="37">
        <f>ROUND(ROUND(49*1.33,2)*(1+C$6),2)</f>
        <v>75.790000000000006</v>
      </c>
      <c r="F210" s="35">
        <f t="shared" si="5"/>
        <v>0</v>
      </c>
      <c r="G210" s="33" t="s">
        <v>393</v>
      </c>
      <c r="H210" s="5" t="s">
        <v>91</v>
      </c>
    </row>
    <row r="211" spans="1:8" s="19" customFormat="1">
      <c r="A211" s="33"/>
      <c r="B211" s="34" t="s">
        <v>332</v>
      </c>
      <c r="C211" s="35"/>
      <c r="D211" s="36" t="s">
        <v>182</v>
      </c>
      <c r="E211" s="37">
        <f>ROUND(ROUND(101*1.33,2)*(1+C$6),2)</f>
        <v>156.22999999999999</v>
      </c>
      <c r="F211" s="35">
        <f t="shared" si="5"/>
        <v>0</v>
      </c>
      <c r="G211" s="33" t="s">
        <v>394</v>
      </c>
      <c r="H211" s="5" t="s">
        <v>534</v>
      </c>
    </row>
    <row r="212" spans="1:8" s="19" customFormat="1">
      <c r="A212" s="33"/>
      <c r="B212" s="34" t="s">
        <v>284</v>
      </c>
      <c r="C212" s="35"/>
      <c r="D212" s="36" t="s">
        <v>182</v>
      </c>
      <c r="E212" s="37">
        <f>ROUND(ROUND(129*1.33,2)*(1+C$6),2)</f>
        <v>199.54</v>
      </c>
      <c r="F212" s="35">
        <f t="shared" si="5"/>
        <v>0</v>
      </c>
      <c r="G212" s="33" t="s">
        <v>395</v>
      </c>
      <c r="H212" s="5" t="s">
        <v>92</v>
      </c>
    </row>
    <row r="213" spans="1:8" s="19" customFormat="1">
      <c r="A213" s="33"/>
      <c r="B213" s="34" t="s">
        <v>441</v>
      </c>
      <c r="C213" s="35"/>
      <c r="D213" s="36" t="s">
        <v>182</v>
      </c>
      <c r="E213" s="37">
        <f>ROUND(ROUND(183*1.33,2)*(1+C$6),2)</f>
        <v>283.06</v>
      </c>
      <c r="F213" s="35">
        <f t="shared" si="5"/>
        <v>0</v>
      </c>
      <c r="G213" s="33" t="s">
        <v>396</v>
      </c>
      <c r="H213" s="5" t="s">
        <v>93</v>
      </c>
    </row>
    <row r="214" spans="1:8" s="19" customFormat="1">
      <c r="A214" s="33"/>
      <c r="B214" s="34" t="s">
        <v>290</v>
      </c>
      <c r="C214" s="35"/>
      <c r="D214" s="36" t="s">
        <v>182</v>
      </c>
      <c r="E214" s="37">
        <f>ROUND(ROUND(365*1.33,2)*(1+C$6),2)</f>
        <v>564.58000000000004</v>
      </c>
      <c r="F214" s="35">
        <f t="shared" si="5"/>
        <v>0</v>
      </c>
      <c r="G214" s="33" t="s">
        <v>397</v>
      </c>
      <c r="H214" s="5" t="s">
        <v>212</v>
      </c>
    </row>
    <row r="215" spans="1:8">
      <c r="A215" s="52"/>
      <c r="B215" s="60"/>
      <c r="C215" s="56"/>
      <c r="D215" s="55"/>
      <c r="E215" s="54"/>
      <c r="F215" s="56"/>
      <c r="G215" s="52"/>
    </row>
    <row r="216" spans="1:8" s="19" customFormat="1">
      <c r="A216" s="33"/>
      <c r="B216" s="34" t="s">
        <v>302</v>
      </c>
      <c r="C216" s="35"/>
      <c r="D216" s="36" t="s">
        <v>402</v>
      </c>
      <c r="E216" s="71">
        <f>ROUND(ROUND(310*1.33,2)*(1+C$6),2)</f>
        <v>479.5</v>
      </c>
      <c r="F216" s="35">
        <f>ROUND(C216*E216,0)</f>
        <v>0</v>
      </c>
      <c r="G216" s="33" t="s">
        <v>398</v>
      </c>
      <c r="H216" s="5" t="s">
        <v>94</v>
      </c>
    </row>
    <row r="217" spans="1:8" s="19" customFormat="1">
      <c r="A217" s="33"/>
      <c r="B217" s="34" t="s">
        <v>154</v>
      </c>
      <c r="C217" s="35"/>
      <c r="D217" s="36" t="s">
        <v>402</v>
      </c>
      <c r="E217" s="71">
        <f>ROUND(ROUND(370*1.33,2)*(1+C$6),2)</f>
        <v>572.30999999999995</v>
      </c>
      <c r="F217" s="35">
        <f>ROUND(C217*E217,0)</f>
        <v>0</v>
      </c>
      <c r="G217" s="33" t="s">
        <v>556</v>
      </c>
      <c r="H217" s="5" t="s">
        <v>112</v>
      </c>
    </row>
    <row r="218" spans="1:8" s="19" customFormat="1">
      <c r="A218" s="33"/>
      <c r="B218" s="34" t="s">
        <v>333</v>
      </c>
      <c r="C218" s="35"/>
      <c r="D218" s="36" t="s">
        <v>402</v>
      </c>
      <c r="E218" s="71">
        <f>ROUND(ROUND(435*1.33,2)*(1+C$6),2)</f>
        <v>672.85</v>
      </c>
      <c r="F218" s="35">
        <f>ROUND(C218*E218,0)</f>
        <v>0</v>
      </c>
      <c r="G218" s="33" t="s">
        <v>557</v>
      </c>
      <c r="H218" s="5" t="s">
        <v>95</v>
      </c>
    </row>
    <row r="219" spans="1:8" s="19" customFormat="1">
      <c r="A219" s="33"/>
      <c r="B219" s="34" t="s">
        <v>482</v>
      </c>
      <c r="C219" s="35"/>
      <c r="D219" s="36" t="s">
        <v>402</v>
      </c>
      <c r="E219" s="71">
        <f>ROUND(ROUND(545*1.33,2)*(1+C$6),2)</f>
        <v>843</v>
      </c>
      <c r="F219" s="35">
        <f>ROUND(C219*E219,0)</f>
        <v>0</v>
      </c>
      <c r="G219" s="33" t="s">
        <v>558</v>
      </c>
      <c r="H219" s="5" t="s">
        <v>98</v>
      </c>
    </row>
    <row r="220" spans="1:8" s="19" customFormat="1">
      <c r="A220" s="33"/>
      <c r="B220" s="34" t="s">
        <v>34</v>
      </c>
      <c r="C220" s="35"/>
      <c r="D220" s="36" t="s">
        <v>402</v>
      </c>
      <c r="E220" s="71">
        <f>ROUND(ROUND(1300*1.33,2)*(1+C$6),2)</f>
        <v>2010.83</v>
      </c>
      <c r="F220" s="35">
        <f>ROUND(C220*E220,0)</f>
        <v>0</v>
      </c>
      <c r="G220" s="33" t="s">
        <v>559</v>
      </c>
      <c r="H220" s="5" t="s">
        <v>97</v>
      </c>
    </row>
    <row r="221" spans="1:8">
      <c r="A221" s="52"/>
      <c r="B221" s="53"/>
      <c r="C221" s="56"/>
      <c r="D221" s="55"/>
      <c r="E221" s="54"/>
      <c r="F221" s="56"/>
      <c r="G221" s="52"/>
      <c r="H221" s="7"/>
    </row>
    <row r="222" spans="1:8" s="38" customFormat="1">
      <c r="A222" s="33"/>
      <c r="B222" s="57" t="s">
        <v>183</v>
      </c>
      <c r="C222" s="35"/>
      <c r="D222" s="36"/>
      <c r="E222" s="71"/>
      <c r="F222" s="29"/>
      <c r="G222" s="77"/>
      <c r="H222" s="89"/>
    </row>
    <row r="223" spans="1:8" s="19" customFormat="1">
      <c r="A223" s="33"/>
      <c r="B223" s="34" t="s">
        <v>137</v>
      </c>
      <c r="C223" s="35"/>
      <c r="D223" s="36" t="s">
        <v>402</v>
      </c>
      <c r="E223" s="37">
        <f>ROUND(2250*(1+C6),2)</f>
        <v>2616.75</v>
      </c>
      <c r="F223" s="35">
        <f>ROUND(C223*E223,0)</f>
        <v>0</v>
      </c>
      <c r="G223" s="33" t="s">
        <v>560</v>
      </c>
    </row>
    <row r="224" spans="1:8" s="19" customFormat="1">
      <c r="A224" s="33"/>
      <c r="B224" s="34" t="s">
        <v>282</v>
      </c>
      <c r="C224" s="35"/>
      <c r="D224" s="36" t="s">
        <v>402</v>
      </c>
      <c r="E224" s="37">
        <f>ROUND(3050*(1+C6),2)</f>
        <v>3547.15</v>
      </c>
      <c r="F224" s="35">
        <f>ROUND(C224*E224,0)</f>
        <v>0</v>
      </c>
      <c r="G224" s="33" t="s">
        <v>403</v>
      </c>
    </row>
    <row r="225" spans="1:7" s="19" customFormat="1">
      <c r="A225" s="33"/>
      <c r="B225" s="34" t="s">
        <v>205</v>
      </c>
      <c r="C225" s="35"/>
      <c r="D225" s="36" t="s">
        <v>402</v>
      </c>
      <c r="E225" s="37">
        <f>ROUND(4500*(1+C6),2)</f>
        <v>5233.5</v>
      </c>
      <c r="F225" s="35">
        <f>ROUND(C225*E225,0)</f>
        <v>0</v>
      </c>
      <c r="G225" s="33" t="s">
        <v>404</v>
      </c>
    </row>
    <row r="226" spans="1:7" s="19" customFormat="1">
      <c r="A226" s="33"/>
      <c r="B226" s="34" t="s">
        <v>134</v>
      </c>
      <c r="C226" s="35"/>
      <c r="D226" s="36" t="s">
        <v>135</v>
      </c>
      <c r="E226" s="37">
        <f>ROUND(550*(1+C6),2)</f>
        <v>639.65</v>
      </c>
      <c r="F226" s="35">
        <f>ROUND(C226*E226,0)</f>
        <v>0</v>
      </c>
      <c r="G226" s="33" t="s">
        <v>405</v>
      </c>
    </row>
    <row r="227" spans="1:7">
      <c r="A227" s="52"/>
      <c r="B227" s="60"/>
      <c r="C227" s="56"/>
      <c r="D227" s="55"/>
      <c r="E227" s="54"/>
      <c r="F227" s="56"/>
      <c r="G227" s="52"/>
    </row>
    <row r="228" spans="1:7" s="19" customFormat="1">
      <c r="A228" s="33"/>
      <c r="B228" s="34" t="s">
        <v>136</v>
      </c>
      <c r="C228" s="35"/>
      <c r="D228" s="36" t="s">
        <v>402</v>
      </c>
      <c r="E228" s="37">
        <f>ROUND(1375*(1+C6),2)</f>
        <v>1599.13</v>
      </c>
      <c r="F228" s="35">
        <f>ROUND(C228*E228,0)</f>
        <v>0</v>
      </c>
      <c r="G228" s="33" t="s">
        <v>406</v>
      </c>
    </row>
    <row r="229" spans="1:7" s="19" customFormat="1">
      <c r="A229" s="33"/>
      <c r="B229" s="34" t="s">
        <v>444</v>
      </c>
      <c r="C229" s="35"/>
      <c r="D229" s="36" t="s">
        <v>402</v>
      </c>
      <c r="E229" s="37">
        <f>ROUND(1800*(1+C6),2)</f>
        <v>2093.4</v>
      </c>
      <c r="F229" s="35">
        <f>ROUND(C229*E229,0)</f>
        <v>0</v>
      </c>
      <c r="G229" s="33" t="s">
        <v>407</v>
      </c>
    </row>
    <row r="230" spans="1:7" s="19" customFormat="1">
      <c r="A230" s="33"/>
      <c r="B230" s="34" t="s">
        <v>445</v>
      </c>
      <c r="C230" s="35"/>
      <c r="D230" s="36" t="s">
        <v>402</v>
      </c>
      <c r="E230" s="37">
        <f>ROUND(2325*(1+C6),2)</f>
        <v>2703.98</v>
      </c>
      <c r="F230" s="35">
        <f>ROUND(C230*E230,0)</f>
        <v>0</v>
      </c>
      <c r="G230" s="33" t="s">
        <v>408</v>
      </c>
    </row>
    <row r="231" spans="1:7" s="19" customFormat="1">
      <c r="A231" s="33"/>
      <c r="B231" s="34" t="s">
        <v>134</v>
      </c>
      <c r="C231" s="35"/>
      <c r="D231" s="36" t="s">
        <v>135</v>
      </c>
      <c r="E231" s="37">
        <f>ROUND(275*(1+C6),2)</f>
        <v>319.83</v>
      </c>
      <c r="F231" s="35">
        <f>ROUND(C231*E231,0)</f>
        <v>0</v>
      </c>
      <c r="G231" s="33" t="s">
        <v>409</v>
      </c>
    </row>
    <row r="232" spans="1:7">
      <c r="A232" s="52"/>
      <c r="B232" s="60"/>
      <c r="C232" s="56"/>
      <c r="D232" s="55"/>
      <c r="E232" s="54"/>
      <c r="F232" s="56"/>
      <c r="G232" s="52"/>
    </row>
    <row r="233" spans="1:7" s="19" customFormat="1">
      <c r="A233" s="33"/>
      <c r="B233" s="34" t="s">
        <v>576</v>
      </c>
      <c r="C233" s="35"/>
      <c r="D233" s="36" t="s">
        <v>402</v>
      </c>
      <c r="E233" s="37">
        <f>ROUND(505*(1+C6),2)</f>
        <v>587.32000000000005</v>
      </c>
      <c r="F233" s="35">
        <f>ROUND(C233*E233,0)</f>
        <v>0</v>
      </c>
      <c r="G233" s="98" t="s">
        <v>577</v>
      </c>
    </row>
    <row r="234" spans="1:7">
      <c r="A234" s="52"/>
      <c r="B234" s="60"/>
      <c r="C234" s="56"/>
      <c r="D234" s="55"/>
      <c r="E234" s="54"/>
      <c r="F234" s="56"/>
      <c r="G234" s="52"/>
    </row>
    <row r="235" spans="1:7" s="19" customFormat="1">
      <c r="A235" s="38"/>
      <c r="B235" s="34" t="s">
        <v>294</v>
      </c>
      <c r="C235" s="37"/>
      <c r="D235" s="36" t="s">
        <v>402</v>
      </c>
      <c r="E235" s="37">
        <f>ROUND(390*(1+C6),2)</f>
        <v>453.57</v>
      </c>
      <c r="F235" s="35">
        <f>ROUND(C235*E235,0)</f>
        <v>0</v>
      </c>
      <c r="G235" s="33" t="s">
        <v>410</v>
      </c>
    </row>
    <row r="236" spans="1:7">
      <c r="A236" s="61"/>
      <c r="B236" s="61"/>
      <c r="C236" s="54"/>
      <c r="D236" s="55"/>
      <c r="E236" s="54"/>
      <c r="F236" s="54"/>
      <c r="G236" s="52"/>
    </row>
    <row r="237" spans="1:7" s="19" customFormat="1">
      <c r="A237" s="33"/>
      <c r="B237" s="57" t="s">
        <v>437</v>
      </c>
      <c r="C237" s="35"/>
      <c r="D237" s="36"/>
      <c r="E237" s="37"/>
      <c r="F237" s="35"/>
      <c r="G237" s="33"/>
    </row>
    <row r="238" spans="1:7" s="19" customFormat="1">
      <c r="A238" s="33"/>
      <c r="B238" s="34" t="s">
        <v>116</v>
      </c>
      <c r="C238" s="35"/>
      <c r="D238" s="36" t="s">
        <v>402</v>
      </c>
      <c r="E238" s="37">
        <f>ROUND(1350*(1+C6),2)</f>
        <v>1570.05</v>
      </c>
      <c r="F238" s="35">
        <f>ROUND(C238*E238,0)</f>
        <v>0</v>
      </c>
      <c r="G238" s="33" t="s">
        <v>411</v>
      </c>
    </row>
    <row r="239" spans="1:7" s="19" customFormat="1">
      <c r="A239" s="33"/>
      <c r="B239" s="34" t="s">
        <v>293</v>
      </c>
      <c r="C239" s="35"/>
      <c r="D239" s="36" t="s">
        <v>402</v>
      </c>
      <c r="E239" s="37">
        <f>ROUND(1175*(1+C6),2)</f>
        <v>1366.53</v>
      </c>
      <c r="F239" s="35">
        <f>ROUND(C239*E239,0)</f>
        <v>0</v>
      </c>
      <c r="G239" s="33" t="s">
        <v>412</v>
      </c>
    </row>
    <row r="240" spans="1:7" s="19" customFormat="1">
      <c r="A240" s="33"/>
      <c r="B240" s="34" t="s">
        <v>594</v>
      </c>
      <c r="C240" s="35"/>
      <c r="D240" s="36" t="s">
        <v>402</v>
      </c>
      <c r="E240" s="37">
        <f>ROUND(615*(1+C6),2)</f>
        <v>715.25</v>
      </c>
      <c r="F240" s="35">
        <f>ROUND(C240*E240,0)</f>
        <v>0</v>
      </c>
      <c r="G240" s="33" t="s">
        <v>595</v>
      </c>
    </row>
    <row r="241" spans="1:7">
      <c r="A241" s="52"/>
      <c r="B241" s="60"/>
      <c r="C241" s="56"/>
      <c r="D241" s="55"/>
      <c r="E241" s="54"/>
      <c r="F241" s="56"/>
      <c r="G241" s="52"/>
    </row>
    <row r="242" spans="1:7" s="19" customFormat="1">
      <c r="A242" s="33"/>
      <c r="B242" s="34" t="s">
        <v>295</v>
      </c>
      <c r="C242" s="35"/>
      <c r="D242" s="36" t="s">
        <v>402</v>
      </c>
      <c r="E242" s="37">
        <f>ROUND(510*(1+C6),2)</f>
        <v>593.13</v>
      </c>
      <c r="F242" s="35">
        <f>ROUND(C242*E242,0)</f>
        <v>0</v>
      </c>
      <c r="G242" s="33" t="s">
        <v>413</v>
      </c>
    </row>
    <row r="243" spans="1:7">
      <c r="A243" s="52"/>
      <c r="B243" s="53"/>
      <c r="C243" s="56"/>
      <c r="D243" s="55"/>
      <c r="E243" s="54"/>
      <c r="F243" s="56"/>
      <c r="G243" s="52"/>
    </row>
    <row r="244" spans="1:7" s="19" customFormat="1">
      <c r="A244" s="33"/>
      <c r="B244" s="57" t="s">
        <v>340</v>
      </c>
      <c r="C244" s="35"/>
      <c r="D244" s="36"/>
      <c r="E244" s="37"/>
      <c r="F244" s="35"/>
      <c r="G244" s="33"/>
    </row>
    <row r="245" spans="1:7" s="19" customFormat="1">
      <c r="A245" s="33"/>
      <c r="B245" s="34" t="s">
        <v>341</v>
      </c>
      <c r="C245" s="35"/>
      <c r="D245" s="36" t="s">
        <v>402</v>
      </c>
      <c r="E245" s="37">
        <f>ROUND(2250*(1+C$6),2)</f>
        <v>2616.75</v>
      </c>
      <c r="F245" s="35">
        <f>ROUND(C245*E245,0)</f>
        <v>0</v>
      </c>
      <c r="G245" s="33" t="s">
        <v>560</v>
      </c>
    </row>
    <row r="246" spans="1:7" s="19" customFormat="1">
      <c r="A246" s="33"/>
      <c r="B246" s="34" t="s">
        <v>342</v>
      </c>
      <c r="C246" s="35"/>
      <c r="D246" s="36" t="s">
        <v>402</v>
      </c>
      <c r="E246" s="37">
        <f>ROUND(3050*(1+C$6),2)</f>
        <v>3547.15</v>
      </c>
      <c r="F246" s="35">
        <f>ROUND(C246*E246,0)</f>
        <v>0</v>
      </c>
      <c r="G246" s="33" t="s">
        <v>403</v>
      </c>
    </row>
    <row r="247" spans="1:7" s="19" customFormat="1">
      <c r="A247" s="33"/>
      <c r="B247" s="34" t="s">
        <v>343</v>
      </c>
      <c r="C247" s="35"/>
      <c r="D247" s="36" t="s">
        <v>402</v>
      </c>
      <c r="E247" s="37">
        <f>ROUND(4500*(1+C$6),2)</f>
        <v>5233.5</v>
      </c>
      <c r="F247" s="35">
        <f>ROUND(C247*E247,0)</f>
        <v>0</v>
      </c>
      <c r="G247" s="33" t="s">
        <v>404</v>
      </c>
    </row>
    <row r="248" spans="1:7" s="19" customFormat="1">
      <c r="A248" s="33"/>
      <c r="B248" s="34" t="s">
        <v>344</v>
      </c>
      <c r="C248" s="35"/>
      <c r="D248" s="36" t="s">
        <v>135</v>
      </c>
      <c r="E248" s="37">
        <f>ROUND(550*(1+C$6),2)</f>
        <v>639.65</v>
      </c>
      <c r="F248" s="35">
        <f>ROUND(C248*E248,0)</f>
        <v>0</v>
      </c>
      <c r="G248" s="33" t="s">
        <v>405</v>
      </c>
    </row>
    <row r="249" spans="1:7">
      <c r="A249" s="52"/>
      <c r="B249" s="53"/>
      <c r="C249" s="56"/>
      <c r="D249" s="55"/>
      <c r="E249" s="62"/>
      <c r="F249" s="56"/>
      <c r="G249" s="52"/>
    </row>
    <row r="250" spans="1:7" s="19" customFormat="1">
      <c r="A250" s="33"/>
      <c r="B250" s="57" t="s">
        <v>506</v>
      </c>
      <c r="C250" s="35"/>
      <c r="D250" s="36"/>
      <c r="E250" s="37"/>
      <c r="F250" s="35"/>
      <c r="G250" s="33"/>
    </row>
    <row r="251" spans="1:7" s="19" customFormat="1">
      <c r="A251" s="33"/>
      <c r="B251" s="34" t="s">
        <v>341</v>
      </c>
      <c r="C251" s="35"/>
      <c r="D251" s="36" t="s">
        <v>402</v>
      </c>
      <c r="E251" s="37">
        <f>ROUND(1375*(1+C6),2)</f>
        <v>1599.13</v>
      </c>
      <c r="F251" s="35">
        <f>ROUND(C251*E251,0)</f>
        <v>0</v>
      </c>
      <c r="G251" s="33" t="s">
        <v>406</v>
      </c>
    </row>
    <row r="252" spans="1:7" s="19" customFormat="1">
      <c r="A252" s="33"/>
      <c r="B252" s="34" t="s">
        <v>342</v>
      </c>
      <c r="C252" s="35"/>
      <c r="D252" s="36" t="s">
        <v>402</v>
      </c>
      <c r="E252" s="37">
        <f>ROUND(1800*(1+C6),2)</f>
        <v>2093.4</v>
      </c>
      <c r="F252" s="35">
        <f>ROUND(C252*E252,0)</f>
        <v>0</v>
      </c>
      <c r="G252" s="33" t="s">
        <v>407</v>
      </c>
    </row>
    <row r="253" spans="1:7" s="19" customFormat="1">
      <c r="A253" s="33"/>
      <c r="B253" s="34" t="s">
        <v>343</v>
      </c>
      <c r="C253" s="35"/>
      <c r="D253" s="36" t="s">
        <v>402</v>
      </c>
      <c r="E253" s="37">
        <f>ROUND(2325*(1+C6),2)</f>
        <v>2703.98</v>
      </c>
      <c r="F253" s="35">
        <f>ROUND(C253*E253,0)</f>
        <v>0</v>
      </c>
      <c r="G253" s="33" t="s">
        <v>408</v>
      </c>
    </row>
    <row r="254" spans="1:7" s="19" customFormat="1">
      <c r="A254" s="33"/>
      <c r="B254" s="34" t="s">
        <v>344</v>
      </c>
      <c r="C254" s="35"/>
      <c r="D254" s="36" t="s">
        <v>135</v>
      </c>
      <c r="E254" s="37">
        <f>ROUND(275*(1+C6),2)</f>
        <v>319.83</v>
      </c>
      <c r="F254" s="35">
        <f>ROUND(C254*E254,0)</f>
        <v>0</v>
      </c>
      <c r="G254" s="33" t="s">
        <v>409</v>
      </c>
    </row>
    <row r="255" spans="1:7">
      <c r="A255" s="52"/>
      <c r="B255" s="53"/>
      <c r="C255" s="56"/>
      <c r="D255" s="55"/>
      <c r="E255" s="62"/>
      <c r="F255" s="56"/>
      <c r="G255" s="52"/>
    </row>
    <row r="256" spans="1:7" s="19" customFormat="1">
      <c r="A256" s="33"/>
      <c r="B256" s="78" t="s">
        <v>507</v>
      </c>
      <c r="C256" s="29"/>
      <c r="D256" s="72" t="s">
        <v>402</v>
      </c>
      <c r="E256" s="71">
        <f>ROUND(310*(1+C6),2)</f>
        <v>360.53</v>
      </c>
      <c r="F256" s="29">
        <f>ROUND(C256*E256,0)</f>
        <v>0</v>
      </c>
      <c r="G256" s="77" t="s">
        <v>5</v>
      </c>
    </row>
    <row r="257" spans="1:8" s="19" customFormat="1">
      <c r="A257" s="33"/>
      <c r="B257" s="57"/>
      <c r="C257" s="35"/>
      <c r="D257" s="36"/>
      <c r="E257" s="37"/>
      <c r="F257" s="35"/>
      <c r="G257" s="33"/>
    </row>
    <row r="258" spans="1:8" s="19" customFormat="1">
      <c r="A258" s="33"/>
      <c r="B258" s="57" t="s">
        <v>508</v>
      </c>
      <c r="C258" s="35"/>
      <c r="D258" s="36" t="s">
        <v>402</v>
      </c>
      <c r="E258" s="37">
        <f>ROUND(1075*(1+C6),2)</f>
        <v>1250.23</v>
      </c>
      <c r="F258" s="35">
        <f>ROUND(C258*E258,0)</f>
        <v>0</v>
      </c>
      <c r="G258" s="33" t="s">
        <v>414</v>
      </c>
    </row>
    <row r="259" spans="1:8" s="19" customFormat="1">
      <c r="A259" s="33"/>
      <c r="B259" s="57"/>
      <c r="C259" s="35"/>
      <c r="D259" s="36"/>
      <c r="E259" s="37"/>
      <c r="F259" s="35"/>
      <c r="G259" s="33"/>
    </row>
    <row r="260" spans="1:8" s="19" customFormat="1">
      <c r="A260" s="33"/>
      <c r="B260" s="57" t="s">
        <v>509</v>
      </c>
      <c r="C260" s="35"/>
      <c r="D260" s="36" t="s">
        <v>402</v>
      </c>
      <c r="E260" s="37">
        <f>ROUND(1250*(1+C6),2)</f>
        <v>1453.75</v>
      </c>
      <c r="F260" s="35">
        <f>ROUND(C260*E260,0)</f>
        <v>0</v>
      </c>
      <c r="G260" s="33" t="s">
        <v>164</v>
      </c>
    </row>
    <row r="261" spans="1:8" s="19" customFormat="1">
      <c r="A261" s="21"/>
      <c r="B261" s="66"/>
      <c r="C261" s="40"/>
      <c r="D261" s="67"/>
      <c r="E261" s="37"/>
      <c r="F261" s="35"/>
      <c r="G261" s="33"/>
    </row>
    <row r="262" spans="1:8" s="19" customFormat="1">
      <c r="A262" s="21"/>
      <c r="B262" s="57" t="s">
        <v>146</v>
      </c>
      <c r="C262" s="40"/>
      <c r="D262" s="67"/>
      <c r="E262" s="37"/>
      <c r="F262" s="35"/>
      <c r="G262" s="33"/>
    </row>
    <row r="263" spans="1:8" s="38" customFormat="1">
      <c r="A263" s="33"/>
      <c r="B263" s="34" t="s">
        <v>149</v>
      </c>
      <c r="C263" s="40"/>
      <c r="D263" s="36" t="s">
        <v>234</v>
      </c>
      <c r="E263" s="37">
        <f>ROUND(ROUND(115/9,2)*(1+C6),2)</f>
        <v>14.86</v>
      </c>
      <c r="F263" s="35">
        <f>ROUND(C263*E263,0)</f>
        <v>0</v>
      </c>
      <c r="G263" s="33" t="s">
        <v>155</v>
      </c>
    </row>
    <row r="264" spans="1:8" s="19" customFormat="1">
      <c r="A264" s="21"/>
      <c r="B264" s="34" t="s">
        <v>150</v>
      </c>
      <c r="C264" s="40"/>
      <c r="D264" s="36" t="s">
        <v>234</v>
      </c>
      <c r="E264" s="37">
        <f>ROUND(ROUND(101/9,2)*(1+C6),2)</f>
        <v>13.05</v>
      </c>
      <c r="F264" s="35">
        <f>ROUND(C264*E264,0)</f>
        <v>0</v>
      </c>
      <c r="G264" s="33" t="s">
        <v>156</v>
      </c>
    </row>
    <row r="265" spans="1:8">
      <c r="A265" s="9"/>
      <c r="B265" s="59"/>
      <c r="C265" s="68"/>
      <c r="D265" s="58"/>
      <c r="E265" s="54"/>
      <c r="F265" s="56"/>
      <c r="G265" s="52"/>
    </row>
    <row r="266" spans="1:8" s="19" customFormat="1">
      <c r="B266" s="78" t="s">
        <v>151</v>
      </c>
      <c r="C266" s="29"/>
      <c r="D266" s="72" t="s">
        <v>182</v>
      </c>
      <c r="E266" s="71">
        <f>ROUND(ROUND((1.13)/9,2)*(1+C6),2)</f>
        <v>0.15</v>
      </c>
      <c r="F266" s="29">
        <f>ROUND(C266*E266,0)</f>
        <v>0</v>
      </c>
      <c r="G266" s="77" t="s">
        <v>111</v>
      </c>
      <c r="H266" s="19" t="s">
        <v>315</v>
      </c>
    </row>
    <row r="267" spans="1:8" s="19" customFormat="1">
      <c r="B267" s="2"/>
      <c r="C267" s="25"/>
      <c r="D267" s="20"/>
      <c r="E267" s="5"/>
      <c r="F267" s="25"/>
      <c r="G267" s="21"/>
    </row>
    <row r="268" spans="1:8" s="19" customFormat="1">
      <c r="A268" s="21"/>
      <c r="B268" s="2" t="s">
        <v>7</v>
      </c>
      <c r="C268" s="25"/>
      <c r="D268" s="20" t="s">
        <v>234</v>
      </c>
      <c r="E268" s="37">
        <f>ROUND(ROUND(101/9,2)*(1+C6),2)</f>
        <v>13.05</v>
      </c>
      <c r="F268" s="25">
        <f>ROUND(C268*E268,0)</f>
        <v>0</v>
      </c>
      <c r="G268" s="21" t="s">
        <v>156</v>
      </c>
      <c r="H268" s="19" t="s">
        <v>128</v>
      </c>
    </row>
    <row r="269" spans="1:8" s="19" customFormat="1">
      <c r="A269" s="21"/>
      <c r="B269" s="2"/>
      <c r="C269" s="25"/>
      <c r="D269" s="20"/>
      <c r="E269" s="37"/>
      <c r="F269" s="25"/>
      <c r="G269" s="21"/>
    </row>
    <row r="270" spans="1:8" s="19" customFormat="1">
      <c r="A270" s="21"/>
      <c r="B270" s="2" t="s">
        <v>213</v>
      </c>
      <c r="C270" s="25"/>
      <c r="D270" s="20" t="s">
        <v>234</v>
      </c>
      <c r="E270" s="37">
        <f>ROUND(4.39*(1+C6),2)</f>
        <v>5.1100000000000003</v>
      </c>
      <c r="F270" s="25">
        <f>ROUND(C270*E270,0)</f>
        <v>0</v>
      </c>
      <c r="G270" s="21" t="s">
        <v>477</v>
      </c>
      <c r="H270" s="19" t="s">
        <v>145</v>
      </c>
    </row>
    <row r="272" spans="1:8" s="19" customFormat="1">
      <c r="A272" s="21"/>
      <c r="B272" s="2" t="s">
        <v>8</v>
      </c>
      <c r="C272" s="25"/>
      <c r="D272" s="20"/>
      <c r="E272" s="26"/>
      <c r="F272" s="25"/>
      <c r="G272" s="21"/>
    </row>
    <row r="273" spans="1:8" s="19" customFormat="1">
      <c r="A273" s="21"/>
      <c r="B273" s="3" t="s">
        <v>227</v>
      </c>
      <c r="C273" s="25"/>
      <c r="D273" s="20" t="s">
        <v>228</v>
      </c>
      <c r="E273" s="63">
        <f>ROUND(0.75*(1+C6),2)</f>
        <v>0.87</v>
      </c>
      <c r="F273" s="25">
        <f>ROUND(C273*E273,0)</f>
        <v>0</v>
      </c>
      <c r="G273" s="91" t="s">
        <v>567</v>
      </c>
      <c r="H273" s="21" t="s">
        <v>43</v>
      </c>
    </row>
    <row r="274" spans="1:8" s="19" customFormat="1">
      <c r="A274" s="21"/>
      <c r="B274" s="3" t="s">
        <v>229</v>
      </c>
      <c r="C274" s="25"/>
      <c r="D274" s="20" t="s">
        <v>230</v>
      </c>
      <c r="E274" s="63">
        <f>ROUND(1.21*(1+C6),2)</f>
        <v>1.41</v>
      </c>
      <c r="F274" s="25">
        <f>ROUND(C274*E274,0)</f>
        <v>0</v>
      </c>
      <c r="G274" s="21" t="s">
        <v>45</v>
      </c>
      <c r="H274" s="21" t="s">
        <v>44</v>
      </c>
    </row>
    <row r="275" spans="1:8" s="19" customFormat="1">
      <c r="A275" s="21"/>
      <c r="B275" s="34" t="s">
        <v>231</v>
      </c>
      <c r="C275" s="25"/>
      <c r="D275" s="20" t="s">
        <v>230</v>
      </c>
      <c r="E275" s="63">
        <f>ROUND(ROUND(11.25+(815*60/(4*2000)),2)*(1+C6),2)</f>
        <v>20.190000000000001</v>
      </c>
      <c r="F275" s="25">
        <f>ROUND(C275*E275,0)</f>
        <v>0</v>
      </c>
      <c r="G275" s="21" t="s">
        <v>46</v>
      </c>
      <c r="H275" s="95" t="s">
        <v>571</v>
      </c>
    </row>
    <row r="276" spans="1:8" s="19" customFormat="1">
      <c r="A276" s="21"/>
      <c r="B276" s="3" t="s">
        <v>301</v>
      </c>
      <c r="C276" s="25"/>
      <c r="D276" s="20"/>
      <c r="E276" s="41">
        <v>0.15</v>
      </c>
      <c r="F276" s="25">
        <f>IF(C276=1,F275*E276,0)</f>
        <v>0</v>
      </c>
      <c r="G276" s="21" t="s">
        <v>3</v>
      </c>
    </row>
    <row r="277" spans="1:8" s="19" customFormat="1">
      <c r="A277" s="21"/>
      <c r="B277" s="3" t="s">
        <v>165</v>
      </c>
      <c r="C277" s="25"/>
      <c r="D277" s="20"/>
      <c r="E277" s="41">
        <v>0.25</v>
      </c>
      <c r="F277" s="25">
        <f>IF(C277=1,F275*E277,0)</f>
        <v>0</v>
      </c>
      <c r="G277" s="21" t="s">
        <v>4</v>
      </c>
    </row>
    <row r="278" spans="1:8" s="19" customFormat="1">
      <c r="A278" s="21"/>
      <c r="B278" s="3" t="s">
        <v>214</v>
      </c>
      <c r="C278" s="25"/>
      <c r="D278" s="20" t="s">
        <v>234</v>
      </c>
      <c r="E278" s="63">
        <f>ROUND((67.5/1000)*(1+C6),2)</f>
        <v>0.08</v>
      </c>
      <c r="F278" s="25">
        <f>ROUND(C278*E278,0)</f>
        <v>0</v>
      </c>
      <c r="G278" s="21" t="s">
        <v>552</v>
      </c>
    </row>
    <row r="279" spans="1:8" s="19" customFormat="1">
      <c r="A279" s="21"/>
      <c r="B279" s="74" t="s">
        <v>166</v>
      </c>
      <c r="C279" s="29"/>
      <c r="D279" s="72" t="s">
        <v>230</v>
      </c>
      <c r="E279" s="73">
        <v>1.4</v>
      </c>
      <c r="F279" s="29">
        <f>ROUND(C279*E279,0)</f>
        <v>0</v>
      </c>
      <c r="G279" s="77"/>
    </row>
    <row r="280" spans="1:8" s="19" customFormat="1">
      <c r="A280" s="21"/>
      <c r="B280" s="82" t="s">
        <v>167</v>
      </c>
      <c r="C280" s="29"/>
      <c r="D280" s="72" t="s">
        <v>234</v>
      </c>
      <c r="E280" s="73">
        <v>0.08</v>
      </c>
      <c r="F280" s="29">
        <f>ROUND(C280*E280,0)</f>
        <v>0</v>
      </c>
      <c r="G280" s="77"/>
    </row>
    <row r="281" spans="1:8">
      <c r="A281" s="9"/>
      <c r="B281" s="18"/>
      <c r="C281" s="12"/>
      <c r="E281" s="14"/>
      <c r="F281" s="12"/>
    </row>
    <row r="282" spans="1:8" s="19" customFormat="1">
      <c r="A282" s="21"/>
      <c r="B282" s="2" t="s">
        <v>215</v>
      </c>
      <c r="C282" s="25"/>
      <c r="D282" s="20"/>
      <c r="E282" s="26"/>
      <c r="F282" s="25"/>
      <c r="G282" s="21"/>
    </row>
    <row r="283" spans="1:8" s="19" customFormat="1">
      <c r="A283" s="33"/>
      <c r="B283" s="34" t="s">
        <v>15</v>
      </c>
      <c r="C283" s="35"/>
      <c r="D283" s="36" t="s">
        <v>230</v>
      </c>
      <c r="E283" s="63">
        <f>ROUND(144.5*(1+C6),2)</f>
        <v>168.05</v>
      </c>
      <c r="F283" s="35">
        <f t="shared" ref="F283:F289" si="6">ROUND(C283*E283,0)</f>
        <v>0</v>
      </c>
      <c r="G283" s="33" t="s">
        <v>208</v>
      </c>
    </row>
    <row r="284" spans="1:8" s="19" customFormat="1">
      <c r="A284" s="33"/>
      <c r="B284" s="34" t="s">
        <v>224</v>
      </c>
      <c r="C284" s="35"/>
      <c r="D284" s="36" t="s">
        <v>230</v>
      </c>
      <c r="E284" s="63">
        <f>ROUND(207*(1+C6),2)</f>
        <v>240.74</v>
      </c>
      <c r="F284" s="35">
        <f t="shared" si="6"/>
        <v>0</v>
      </c>
      <c r="G284" s="33" t="s">
        <v>209</v>
      </c>
    </row>
    <row r="285" spans="1:8" s="19" customFormat="1">
      <c r="A285" s="33"/>
      <c r="B285" s="34" t="s">
        <v>6</v>
      </c>
      <c r="C285" s="35"/>
      <c r="D285" s="36" t="s">
        <v>230</v>
      </c>
      <c r="E285" s="63">
        <f>ROUND(272.5*(1+C6),2)</f>
        <v>316.92</v>
      </c>
      <c r="F285" s="35">
        <f t="shared" si="6"/>
        <v>0</v>
      </c>
      <c r="G285" s="33" t="s">
        <v>152</v>
      </c>
    </row>
    <row r="286" spans="1:8" s="19" customFormat="1">
      <c r="A286" s="33"/>
      <c r="B286" s="34" t="s">
        <v>197</v>
      </c>
      <c r="C286" s="35"/>
      <c r="D286" s="36" t="s">
        <v>230</v>
      </c>
      <c r="E286" s="63">
        <f>ROUND(398*(1+C6),2)</f>
        <v>462.87</v>
      </c>
      <c r="F286" s="35">
        <f t="shared" si="6"/>
        <v>0</v>
      </c>
      <c r="G286" s="33" t="s">
        <v>153</v>
      </c>
    </row>
    <row r="287" spans="1:8" s="19" customFormat="1">
      <c r="A287" s="33"/>
      <c r="B287" s="34" t="s">
        <v>106</v>
      </c>
      <c r="C287" s="35"/>
      <c r="D287" s="36" t="s">
        <v>230</v>
      </c>
      <c r="E287" s="63">
        <f>ROUND(495*(1+C6),2)</f>
        <v>575.69000000000005</v>
      </c>
      <c r="F287" s="35">
        <f t="shared" si="6"/>
        <v>0</v>
      </c>
      <c r="G287" s="33" t="s">
        <v>435</v>
      </c>
    </row>
    <row r="288" spans="1:8" s="19" customFormat="1">
      <c r="A288" s="33"/>
      <c r="B288" s="34" t="s">
        <v>256</v>
      </c>
      <c r="C288" s="35"/>
      <c r="D288" s="36" t="s">
        <v>230</v>
      </c>
      <c r="E288" s="63">
        <f>ROUND(745*(1+C6),2)</f>
        <v>866.44</v>
      </c>
      <c r="F288" s="35">
        <f t="shared" si="6"/>
        <v>0</v>
      </c>
      <c r="G288" s="33" t="s">
        <v>289</v>
      </c>
    </row>
    <row r="289" spans="1:8" s="19" customFormat="1">
      <c r="A289" s="33"/>
      <c r="B289" s="34" t="s">
        <v>216</v>
      </c>
      <c r="C289" s="35"/>
      <c r="D289" s="36" t="s">
        <v>230</v>
      </c>
      <c r="E289" s="63">
        <f>ROUND(1070*(1+C6),2)</f>
        <v>1244.4100000000001</v>
      </c>
      <c r="F289" s="35">
        <f t="shared" si="6"/>
        <v>0</v>
      </c>
      <c r="G289" s="33" t="s">
        <v>31</v>
      </c>
    </row>
    <row r="290" spans="1:8">
      <c r="A290" s="9"/>
      <c r="B290" s="18"/>
      <c r="C290" s="12"/>
      <c r="E290" s="14"/>
      <c r="F290" s="12"/>
    </row>
    <row r="291" spans="1:8">
      <c r="A291" s="9"/>
      <c r="B291" s="39" t="s">
        <v>356</v>
      </c>
      <c r="C291" s="25"/>
      <c r="D291" s="20"/>
      <c r="E291" s="26"/>
      <c r="F291" s="25"/>
      <c r="G291" s="21"/>
    </row>
    <row r="292" spans="1:8">
      <c r="A292" s="9"/>
      <c r="B292" s="39" t="s">
        <v>357</v>
      </c>
      <c r="C292" s="25"/>
      <c r="D292" s="20"/>
      <c r="E292" s="26"/>
      <c r="F292" s="25"/>
      <c r="G292" s="21"/>
    </row>
    <row r="293" spans="1:8">
      <c r="A293" s="9"/>
      <c r="B293" s="66" t="s">
        <v>358</v>
      </c>
      <c r="C293" s="35"/>
      <c r="D293" s="36" t="s">
        <v>135</v>
      </c>
      <c r="E293" s="63">
        <f>ROUND(43.5*(1+C6),2)</f>
        <v>50.59</v>
      </c>
      <c r="F293" s="35">
        <f>ROUND(C293*E293,0)</f>
        <v>0</v>
      </c>
      <c r="G293" s="21" t="s">
        <v>157</v>
      </c>
    </row>
    <row r="294" spans="1:8">
      <c r="A294" s="9"/>
      <c r="B294" s="66" t="s">
        <v>359</v>
      </c>
      <c r="C294" s="35"/>
      <c r="D294" s="36" t="s">
        <v>135</v>
      </c>
      <c r="E294" s="63">
        <f>ROUND(47*(1+C6),2)</f>
        <v>54.66</v>
      </c>
      <c r="F294" s="35">
        <f>ROUND(C294*E294,0)</f>
        <v>0</v>
      </c>
      <c r="G294" s="21" t="s">
        <v>158</v>
      </c>
    </row>
    <row r="295" spans="1:8">
      <c r="A295" s="9"/>
      <c r="B295" s="66" t="s">
        <v>102</v>
      </c>
      <c r="C295" s="35"/>
      <c r="D295" s="36" t="s">
        <v>135</v>
      </c>
      <c r="E295" s="63">
        <f>ROUND(54*(1+C6),2)</f>
        <v>62.8</v>
      </c>
      <c r="F295" s="35">
        <f>ROUND(C295*E295,0)</f>
        <v>0</v>
      </c>
      <c r="G295" s="21" t="s">
        <v>159</v>
      </c>
    </row>
    <row r="296" spans="1:8">
      <c r="A296" s="9"/>
      <c r="B296" s="66" t="s">
        <v>103</v>
      </c>
      <c r="C296" s="35"/>
      <c r="D296" s="36" t="s">
        <v>135</v>
      </c>
      <c r="E296" s="63">
        <f>ROUND(62.5*(1+C6),2)</f>
        <v>72.69</v>
      </c>
      <c r="F296" s="35">
        <f>ROUND(C296*E296,0)</f>
        <v>0</v>
      </c>
      <c r="G296" s="21" t="s">
        <v>160</v>
      </c>
    </row>
    <row r="297" spans="1:8">
      <c r="A297" s="9"/>
      <c r="B297" s="66" t="s">
        <v>104</v>
      </c>
      <c r="C297" s="35"/>
      <c r="D297" s="36"/>
      <c r="E297" s="63"/>
      <c r="F297" s="25"/>
      <c r="G297" s="21"/>
    </row>
    <row r="298" spans="1:8">
      <c r="A298" s="9"/>
      <c r="B298" s="66" t="s">
        <v>358</v>
      </c>
      <c r="C298" s="35"/>
      <c r="D298" s="36" t="s">
        <v>135</v>
      </c>
      <c r="E298" s="63">
        <f>ROUND(44.5*(1+C6),2)</f>
        <v>51.75</v>
      </c>
      <c r="F298" s="35">
        <f>ROUND(C298*E298,0)</f>
        <v>0</v>
      </c>
      <c r="G298" s="21" t="s">
        <v>161</v>
      </c>
    </row>
    <row r="299" spans="1:8">
      <c r="A299" s="9"/>
      <c r="B299" s="66" t="s">
        <v>359</v>
      </c>
      <c r="C299" s="35"/>
      <c r="D299" s="36" t="s">
        <v>135</v>
      </c>
      <c r="E299" s="63">
        <f>ROUND(54*(1+C6),2)</f>
        <v>62.8</v>
      </c>
      <c r="F299" s="35">
        <f>ROUND(C299*E299,0)</f>
        <v>0</v>
      </c>
      <c r="G299" s="21" t="s">
        <v>162</v>
      </c>
    </row>
    <row r="300" spans="1:8">
      <c r="A300" s="9"/>
      <c r="B300" s="66" t="s">
        <v>102</v>
      </c>
      <c r="C300" s="35"/>
      <c r="D300" s="36" t="s">
        <v>135</v>
      </c>
      <c r="E300" s="63">
        <f>ROUND(61.5*(1+C6),2)</f>
        <v>71.52</v>
      </c>
      <c r="F300" s="35">
        <f>ROUND(C300*E300,0)</f>
        <v>0</v>
      </c>
      <c r="G300" s="21" t="s">
        <v>163</v>
      </c>
    </row>
    <row r="301" spans="1:8">
      <c r="A301" s="9"/>
      <c r="B301" s="66" t="s">
        <v>103</v>
      </c>
      <c r="C301" s="35"/>
      <c r="D301" s="36" t="s">
        <v>135</v>
      </c>
      <c r="E301" s="63">
        <f>ROUND(68*(1+C6),2)</f>
        <v>79.08</v>
      </c>
      <c r="F301" s="35">
        <f>ROUND(C301*E301,0)</f>
        <v>0</v>
      </c>
      <c r="G301" s="21" t="s">
        <v>272</v>
      </c>
    </row>
    <row r="302" spans="1:8">
      <c r="A302" s="9"/>
      <c r="B302" s="59"/>
      <c r="C302" s="56"/>
      <c r="D302" s="55"/>
      <c r="E302" s="62"/>
      <c r="F302" s="12"/>
    </row>
    <row r="303" spans="1:8" s="19" customFormat="1">
      <c r="A303" s="33"/>
      <c r="B303" s="34" t="s">
        <v>526</v>
      </c>
      <c r="C303" s="35"/>
      <c r="D303" s="36" t="s">
        <v>234</v>
      </c>
      <c r="E303" s="63">
        <f>ROUND((20.5+((10.01/4)+4.4+1.31))*(1+$C$6),2)</f>
        <v>33.39</v>
      </c>
      <c r="F303" s="35">
        <f>ROUND(C303*E303,0)</f>
        <v>0</v>
      </c>
      <c r="G303" s="77" t="s">
        <v>281</v>
      </c>
      <c r="H303" s="93" t="s">
        <v>568</v>
      </c>
    </row>
    <row r="304" spans="1:8" s="19" customFormat="1">
      <c r="A304" s="33"/>
      <c r="B304" s="34" t="s">
        <v>335</v>
      </c>
      <c r="C304" s="35"/>
      <c r="D304" s="36" t="s">
        <v>234</v>
      </c>
      <c r="E304" s="63">
        <f>ROUND((15.65+((10.01/4)+4.4+1.31))*(1+$C$6),2)</f>
        <v>27.75</v>
      </c>
      <c r="F304" s="35">
        <f>ROUND(C304*E304,0)</f>
        <v>0</v>
      </c>
      <c r="G304" s="77" t="s">
        <v>283</v>
      </c>
      <c r="H304" s="93" t="s">
        <v>568</v>
      </c>
    </row>
    <row r="305" spans="1:8" s="19" customFormat="1">
      <c r="A305" s="33"/>
      <c r="B305" s="34" t="s">
        <v>188</v>
      </c>
      <c r="C305" s="35"/>
      <c r="D305" s="36" t="s">
        <v>234</v>
      </c>
      <c r="E305" s="63">
        <f>ROUND((18.8+((10.01/4)+4.4+1.31))*(1+$C$6),2)</f>
        <v>31.42</v>
      </c>
      <c r="F305" s="35">
        <f>ROUND(C305*E305,0)</f>
        <v>0</v>
      </c>
      <c r="G305" s="77" t="s">
        <v>139</v>
      </c>
      <c r="H305" s="93" t="s">
        <v>568</v>
      </c>
    </row>
    <row r="306" spans="1:8" s="19" customFormat="1">
      <c r="A306" s="21"/>
      <c r="B306" s="34" t="s">
        <v>308</v>
      </c>
      <c r="C306" s="35"/>
      <c r="D306" s="36" t="s">
        <v>234</v>
      </c>
      <c r="E306" s="63">
        <f>ROUND(20.5*(1+C6),2)</f>
        <v>23.84</v>
      </c>
      <c r="F306" s="25">
        <f>ROUND(C306*E306,0)</f>
        <v>0</v>
      </c>
      <c r="G306" s="64" t="s">
        <v>285</v>
      </c>
    </row>
    <row r="307" spans="1:8" s="19" customFormat="1">
      <c r="A307" s="21"/>
      <c r="B307" s="34" t="s">
        <v>233</v>
      </c>
      <c r="C307" s="35"/>
      <c r="D307" s="36" t="s">
        <v>234</v>
      </c>
      <c r="E307" s="63">
        <f>ROUND(0.81*(1+C6),2)</f>
        <v>0.94</v>
      </c>
      <c r="F307" s="25">
        <f>ROUND(C307*E307,0)</f>
        <v>0</v>
      </c>
      <c r="G307" s="64" t="s">
        <v>578</v>
      </c>
    </row>
    <row r="308" spans="1:8">
      <c r="A308" s="9"/>
      <c r="B308" s="18"/>
      <c r="C308" s="12"/>
      <c r="E308" s="14"/>
      <c r="F308" s="12"/>
    </row>
    <row r="309" spans="1:8" s="19" customFormat="1">
      <c r="A309" s="33"/>
      <c r="B309" s="34" t="s">
        <v>384</v>
      </c>
      <c r="C309" s="35"/>
      <c r="D309" s="36" t="s">
        <v>230</v>
      </c>
      <c r="E309" s="63">
        <f>ROUND(63.45*(1+C6),2)</f>
        <v>73.790000000000006</v>
      </c>
      <c r="F309" s="35">
        <f t="shared" ref="F309:F315" si="7">ROUND(C309*E309,0)</f>
        <v>0</v>
      </c>
      <c r="G309" s="33" t="s">
        <v>141</v>
      </c>
    </row>
    <row r="310" spans="1:8" s="19" customFormat="1">
      <c r="A310" s="33"/>
      <c r="B310" s="34" t="s">
        <v>385</v>
      </c>
      <c r="C310" s="35"/>
      <c r="D310" s="36" t="s">
        <v>230</v>
      </c>
      <c r="E310" s="63">
        <f>ROUND(82.8*(1+C6),2)</f>
        <v>96.3</v>
      </c>
      <c r="F310" s="35">
        <f t="shared" si="7"/>
        <v>0</v>
      </c>
      <c r="G310" s="33" t="s">
        <v>142</v>
      </c>
    </row>
    <row r="311" spans="1:8" s="19" customFormat="1">
      <c r="A311" s="33"/>
      <c r="B311" s="34" t="s">
        <v>386</v>
      </c>
      <c r="C311" s="35"/>
      <c r="D311" s="36" t="s">
        <v>230</v>
      </c>
      <c r="E311" s="63">
        <f>ROUND(131.5*(1+C6),2)</f>
        <v>152.93</v>
      </c>
      <c r="F311" s="35">
        <f t="shared" si="7"/>
        <v>0</v>
      </c>
      <c r="G311" s="33" t="s">
        <v>143</v>
      </c>
    </row>
    <row r="312" spans="1:8" s="19" customFormat="1">
      <c r="A312" s="33"/>
      <c r="B312" s="34" t="s">
        <v>115</v>
      </c>
      <c r="C312" s="35"/>
      <c r="D312" s="36" t="s">
        <v>230</v>
      </c>
      <c r="E312" s="63">
        <f>ROUND(186*(1+C6),2)</f>
        <v>216.32</v>
      </c>
      <c r="F312" s="35">
        <f t="shared" si="7"/>
        <v>0</v>
      </c>
      <c r="G312" s="33" t="s">
        <v>218</v>
      </c>
    </row>
    <row r="313" spans="1:8" s="19" customFormat="1">
      <c r="A313" s="33"/>
      <c r="B313" s="34" t="s">
        <v>313</v>
      </c>
      <c r="C313" s="35"/>
      <c r="D313" s="36" t="s">
        <v>230</v>
      </c>
      <c r="E313" s="63">
        <f>ROUND(244*(1+C6),2)</f>
        <v>283.77</v>
      </c>
      <c r="F313" s="35">
        <f t="shared" si="7"/>
        <v>0</v>
      </c>
      <c r="G313" s="33" t="s">
        <v>219</v>
      </c>
    </row>
    <row r="314" spans="1:8" s="19" customFormat="1">
      <c r="A314" s="33"/>
      <c r="B314" s="34" t="s">
        <v>105</v>
      </c>
      <c r="C314" s="35"/>
      <c r="D314" s="36" t="s">
        <v>230</v>
      </c>
      <c r="E314" s="63">
        <f>ROUND(520*(1+C6),2)</f>
        <v>604.76</v>
      </c>
      <c r="F314" s="35">
        <f t="shared" si="7"/>
        <v>0</v>
      </c>
      <c r="G314" s="33" t="s">
        <v>220</v>
      </c>
    </row>
    <row r="315" spans="1:8" s="19" customFormat="1">
      <c r="A315" s="33"/>
      <c r="B315" s="34" t="s">
        <v>144</v>
      </c>
      <c r="C315" s="35"/>
      <c r="D315" s="36" t="s">
        <v>230</v>
      </c>
      <c r="E315" s="63">
        <f>ROUND(594.5*(1+C6),2)</f>
        <v>691.4</v>
      </c>
      <c r="F315" s="35">
        <f t="shared" si="7"/>
        <v>0</v>
      </c>
      <c r="G315" s="33" t="s">
        <v>221</v>
      </c>
    </row>
    <row r="316" spans="1:8">
      <c r="A316" s="52"/>
      <c r="B316" s="59"/>
      <c r="C316" s="56"/>
      <c r="D316" s="55"/>
      <c r="E316" s="62"/>
      <c r="F316" s="56"/>
      <c r="G316" s="52"/>
    </row>
    <row r="317" spans="1:8" s="19" customFormat="1">
      <c r="A317" s="33"/>
      <c r="B317" s="34" t="s">
        <v>286</v>
      </c>
      <c r="C317" s="35"/>
      <c r="D317" s="36" t="s">
        <v>230</v>
      </c>
      <c r="E317" s="63">
        <f>ROUND(30.8*(1+C6),2)</f>
        <v>35.82</v>
      </c>
      <c r="F317" s="35">
        <f t="shared" ref="F317:F323" si="8">ROUND(C317*E317,0)</f>
        <v>0</v>
      </c>
      <c r="G317" s="33" t="s">
        <v>222</v>
      </c>
    </row>
    <row r="318" spans="1:8" s="19" customFormat="1">
      <c r="A318" s="33"/>
      <c r="B318" s="34" t="s">
        <v>266</v>
      </c>
      <c r="C318" s="35"/>
      <c r="D318" s="36" t="s">
        <v>230</v>
      </c>
      <c r="E318" s="63">
        <f>ROUND(45.4*(1+C6),2)</f>
        <v>52.8</v>
      </c>
      <c r="F318" s="35">
        <f t="shared" si="8"/>
        <v>0</v>
      </c>
      <c r="G318" s="33" t="s">
        <v>1</v>
      </c>
    </row>
    <row r="319" spans="1:8" s="19" customFormat="1">
      <c r="A319" s="33"/>
      <c r="B319" s="34" t="s">
        <v>431</v>
      </c>
      <c r="C319" s="35"/>
      <c r="D319" s="36" t="s">
        <v>230</v>
      </c>
      <c r="E319" s="63">
        <f>ROUND(73.5*(1+C6),2)</f>
        <v>85.48</v>
      </c>
      <c r="F319" s="35">
        <f t="shared" si="8"/>
        <v>0</v>
      </c>
      <c r="G319" s="33" t="s">
        <v>2</v>
      </c>
    </row>
    <row r="320" spans="1:8" s="19" customFormat="1">
      <c r="A320" s="33"/>
      <c r="B320" s="34" t="s">
        <v>353</v>
      </c>
      <c r="C320" s="35"/>
      <c r="D320" s="36" t="s">
        <v>230</v>
      </c>
      <c r="E320" s="63">
        <f>ROUND(148*(1+C6),2)</f>
        <v>172.12</v>
      </c>
      <c r="F320" s="35">
        <f t="shared" si="8"/>
        <v>0</v>
      </c>
      <c r="G320" s="33" t="s">
        <v>223</v>
      </c>
    </row>
    <row r="321" spans="1:7" s="19" customFormat="1">
      <c r="A321" s="33"/>
      <c r="B321" s="34" t="s">
        <v>432</v>
      </c>
      <c r="C321" s="35"/>
      <c r="D321" s="36" t="s">
        <v>230</v>
      </c>
      <c r="E321" s="63">
        <f>ROUND(125*(1+C6),2)</f>
        <v>145.38</v>
      </c>
      <c r="F321" s="35">
        <f t="shared" si="8"/>
        <v>0</v>
      </c>
      <c r="G321" s="33" t="s">
        <v>198</v>
      </c>
    </row>
    <row r="322" spans="1:7" s="19" customFormat="1">
      <c r="A322" s="33"/>
      <c r="B322" s="34" t="s">
        <v>238</v>
      </c>
      <c r="C322" s="35"/>
      <c r="D322" s="36" t="s">
        <v>230</v>
      </c>
      <c r="E322" s="63">
        <f>ROUND(124.5*(1+C6),2)</f>
        <v>144.79</v>
      </c>
      <c r="F322" s="35">
        <f t="shared" si="8"/>
        <v>0</v>
      </c>
      <c r="G322" s="33" t="s">
        <v>199</v>
      </c>
    </row>
    <row r="323" spans="1:7" s="19" customFormat="1">
      <c r="A323" s="33"/>
      <c r="B323" s="34" t="s">
        <v>263</v>
      </c>
      <c r="C323" s="35"/>
      <c r="D323" s="36" t="s">
        <v>230</v>
      </c>
      <c r="E323" s="63">
        <f>ROUND(302*(1+C6),2)</f>
        <v>351.23</v>
      </c>
      <c r="F323" s="35">
        <f t="shared" si="8"/>
        <v>0</v>
      </c>
      <c r="G323" s="33" t="s">
        <v>180</v>
      </c>
    </row>
    <row r="324" spans="1:7">
      <c r="A324" s="52"/>
      <c r="B324" s="59"/>
      <c r="C324" s="56"/>
      <c r="D324" s="55"/>
      <c r="E324" s="62"/>
      <c r="F324" s="56"/>
      <c r="G324" s="52"/>
    </row>
    <row r="325" spans="1:7" s="19" customFormat="1">
      <c r="A325" s="33"/>
      <c r="B325" s="34" t="s">
        <v>257</v>
      </c>
      <c r="C325" s="35"/>
      <c r="D325" s="36" t="s">
        <v>230</v>
      </c>
      <c r="E325" s="63">
        <f>ROUND(80.5*(1+C6),2)</f>
        <v>93.62</v>
      </c>
      <c r="F325" s="35">
        <f>ROUND(C325*E325,0)</f>
        <v>0</v>
      </c>
      <c r="G325" s="33" t="s">
        <v>239</v>
      </c>
    </row>
    <row r="326" spans="1:7" s="19" customFormat="1">
      <c r="A326" s="33"/>
      <c r="B326" s="34" t="s">
        <v>264</v>
      </c>
      <c r="C326" s="35"/>
      <c r="D326" s="36" t="s">
        <v>230</v>
      </c>
      <c r="E326" s="63">
        <f>ROUND(92*(1+C6),2)</f>
        <v>107</v>
      </c>
      <c r="F326" s="35">
        <f>ROUND(C326*E326,0)</f>
        <v>0</v>
      </c>
      <c r="G326" s="33" t="s">
        <v>240</v>
      </c>
    </row>
    <row r="327" spans="1:7" s="19" customFormat="1">
      <c r="A327" s="33"/>
      <c r="B327" s="34" t="s">
        <v>436</v>
      </c>
      <c r="C327" s="35"/>
      <c r="D327" s="36" t="s">
        <v>230</v>
      </c>
      <c r="E327" s="63">
        <f>ROUND(109.5*(1+C6),2)</f>
        <v>127.35</v>
      </c>
      <c r="F327" s="35">
        <f>ROUND(C327*E327,0)</f>
        <v>0</v>
      </c>
      <c r="G327" s="33" t="s">
        <v>241</v>
      </c>
    </row>
    <row r="328" spans="1:7" s="19" customFormat="1">
      <c r="A328" s="33"/>
      <c r="B328" s="34" t="s">
        <v>365</v>
      </c>
      <c r="C328" s="35"/>
      <c r="D328" s="36" t="s">
        <v>230</v>
      </c>
      <c r="E328" s="63">
        <f>ROUND(125.5*(1+C6),2)</f>
        <v>145.96</v>
      </c>
      <c r="F328" s="35">
        <f>ROUND(C328*E328,0)</f>
        <v>0</v>
      </c>
      <c r="G328" s="33" t="s">
        <v>242</v>
      </c>
    </row>
    <row r="329" spans="1:7" s="19" customFormat="1">
      <c r="A329" s="33"/>
      <c r="B329" s="34" t="s">
        <v>348</v>
      </c>
      <c r="C329" s="35"/>
      <c r="D329" s="36" t="s">
        <v>230</v>
      </c>
      <c r="E329" s="63">
        <f>ROUND(145*(1+C6),2)</f>
        <v>168.64</v>
      </c>
      <c r="F329" s="35">
        <f>ROUND(C329*E329,0)</f>
        <v>0</v>
      </c>
      <c r="G329" s="33" t="s">
        <v>243</v>
      </c>
    </row>
    <row r="330" spans="1:7">
      <c r="A330" s="52"/>
      <c r="B330" s="53"/>
      <c r="C330" s="56"/>
      <c r="D330" s="55"/>
      <c r="E330" s="62"/>
      <c r="F330" s="56"/>
      <c r="G330" s="52"/>
    </row>
    <row r="331" spans="1:7" s="19" customFormat="1">
      <c r="A331" s="33"/>
      <c r="B331" s="34" t="s">
        <v>265</v>
      </c>
      <c r="C331" s="35"/>
      <c r="D331" s="36" t="s">
        <v>230</v>
      </c>
      <c r="E331" s="63">
        <f>ROUND(93*(1+C6),2)</f>
        <v>108.16</v>
      </c>
      <c r="F331" s="35">
        <f t="shared" ref="F331:F336" si="9">ROUND(C331*E331,0)</f>
        <v>0</v>
      </c>
      <c r="G331" s="33" t="s">
        <v>244</v>
      </c>
    </row>
    <row r="332" spans="1:7" s="19" customFormat="1">
      <c r="A332" s="33"/>
      <c r="B332" s="34" t="s">
        <v>510</v>
      </c>
      <c r="C332" s="35"/>
      <c r="D332" s="36" t="s">
        <v>230</v>
      </c>
      <c r="E332" s="63">
        <f>ROUND(111*(1+C6),2)</f>
        <v>129.09</v>
      </c>
      <c r="F332" s="35">
        <f t="shared" si="9"/>
        <v>0</v>
      </c>
      <c r="G332" s="33" t="s">
        <v>113</v>
      </c>
    </row>
    <row r="333" spans="1:7" s="19" customFormat="1">
      <c r="A333" s="33"/>
      <c r="B333" s="34" t="s">
        <v>511</v>
      </c>
      <c r="C333" s="35"/>
      <c r="D333" s="36" t="s">
        <v>230</v>
      </c>
      <c r="E333" s="63">
        <f>ROUND(127*(1+C6),2)</f>
        <v>147.69999999999999</v>
      </c>
      <c r="F333" s="35">
        <f t="shared" si="9"/>
        <v>0</v>
      </c>
      <c r="G333" s="33" t="s">
        <v>114</v>
      </c>
    </row>
    <row r="334" spans="1:7" s="19" customFormat="1">
      <c r="A334" s="33"/>
      <c r="B334" s="34" t="s">
        <v>512</v>
      </c>
      <c r="C334" s="35"/>
      <c r="D334" s="36" t="s">
        <v>230</v>
      </c>
      <c r="E334" s="63">
        <f>ROUND(147.5*(1+C6),2)</f>
        <v>171.54</v>
      </c>
      <c r="F334" s="35">
        <f t="shared" si="9"/>
        <v>0</v>
      </c>
      <c r="G334" s="33" t="s">
        <v>382</v>
      </c>
    </row>
    <row r="335" spans="1:7" s="19" customFormat="1">
      <c r="A335" s="33"/>
      <c r="B335" s="34" t="s">
        <v>433</v>
      </c>
      <c r="C335" s="35"/>
      <c r="D335" s="36" t="s">
        <v>230</v>
      </c>
      <c r="E335" s="63">
        <f>ROUND(162*(1+C6),2)</f>
        <v>188.41</v>
      </c>
      <c r="F335" s="35">
        <f t="shared" si="9"/>
        <v>0</v>
      </c>
      <c r="G335" s="33" t="s">
        <v>383</v>
      </c>
    </row>
    <row r="336" spans="1:7" s="19" customFormat="1">
      <c r="A336" s="33"/>
      <c r="B336" s="34" t="s">
        <v>434</v>
      </c>
      <c r="C336" s="35"/>
      <c r="D336" s="36" t="s">
        <v>230</v>
      </c>
      <c r="E336" s="63">
        <f>ROUND(187.5*(1+C6),2)</f>
        <v>218.06</v>
      </c>
      <c r="F336" s="35">
        <f t="shared" si="9"/>
        <v>0</v>
      </c>
      <c r="G336" s="33" t="s">
        <v>389</v>
      </c>
    </row>
    <row r="337" spans="1:8">
      <c r="A337" s="52"/>
      <c r="B337" s="53"/>
      <c r="C337" s="56"/>
      <c r="D337" s="55"/>
      <c r="E337" s="62"/>
      <c r="F337" s="56"/>
      <c r="G337" s="52"/>
    </row>
    <row r="338" spans="1:8" s="19" customFormat="1">
      <c r="A338" s="33"/>
      <c r="B338" s="34" t="s">
        <v>310</v>
      </c>
      <c r="C338" s="35"/>
      <c r="D338" s="36" t="s">
        <v>230</v>
      </c>
      <c r="E338" s="63">
        <f>ROUND(155*(1+C6),2)</f>
        <v>180.27</v>
      </c>
      <c r="F338" s="35">
        <f>ROUND(C338*E338,0)</f>
        <v>0</v>
      </c>
      <c r="G338" s="33" t="s">
        <v>390</v>
      </c>
    </row>
    <row r="339" spans="1:8" s="19" customFormat="1">
      <c r="A339" s="33"/>
      <c r="B339" s="34" t="s">
        <v>311</v>
      </c>
      <c r="C339" s="35"/>
      <c r="D339" s="36" t="s">
        <v>230</v>
      </c>
      <c r="E339" s="63">
        <f>ROUND(181*(1+C6),2)</f>
        <v>210.5</v>
      </c>
      <c r="F339" s="35">
        <f>ROUND(C339*E339,0)</f>
        <v>0</v>
      </c>
      <c r="G339" s="33" t="s">
        <v>391</v>
      </c>
    </row>
    <row r="340" spans="1:8" s="19" customFormat="1">
      <c r="A340" s="33"/>
      <c r="B340" s="34" t="s">
        <v>312</v>
      </c>
      <c r="C340" s="35"/>
      <c r="D340" s="36" t="s">
        <v>230</v>
      </c>
      <c r="E340" s="63">
        <f>ROUND(199*(1+C6),2)</f>
        <v>231.44</v>
      </c>
      <c r="F340" s="35">
        <f>ROUND(C340*E340,0)</f>
        <v>0</v>
      </c>
      <c r="G340" s="33" t="s">
        <v>245</v>
      </c>
    </row>
    <row r="341" spans="1:8" s="19" customFormat="1">
      <c r="A341" s="33"/>
      <c r="B341" s="34" t="s">
        <v>430</v>
      </c>
      <c r="C341" s="35"/>
      <c r="D341" s="36" t="s">
        <v>230</v>
      </c>
      <c r="E341" s="63">
        <f>ROUND(228*(1+C6),2)</f>
        <v>265.16000000000003</v>
      </c>
      <c r="F341" s="35">
        <f>ROUND(C341*E341,0)</f>
        <v>0</v>
      </c>
      <c r="G341" s="33" t="s">
        <v>246</v>
      </c>
    </row>
    <row r="342" spans="1:8" s="19" customFormat="1">
      <c r="A342" s="33"/>
      <c r="B342" s="34" t="s">
        <v>466</v>
      </c>
      <c r="C342" s="35"/>
      <c r="D342" s="36" t="s">
        <v>230</v>
      </c>
      <c r="E342" s="63">
        <f>ROUND(247*(1+C6),2)</f>
        <v>287.26</v>
      </c>
      <c r="F342" s="35">
        <f>ROUND(C342*E342,0)</f>
        <v>0</v>
      </c>
      <c r="G342" s="33" t="s">
        <v>247</v>
      </c>
    </row>
    <row r="343" spans="1:8">
      <c r="A343" s="9"/>
      <c r="B343" s="15"/>
      <c r="C343" s="12"/>
      <c r="E343" s="14"/>
      <c r="F343" s="12"/>
    </row>
    <row r="344" spans="1:8" s="19" customFormat="1">
      <c r="A344" s="21"/>
      <c r="B344" s="74" t="s">
        <v>309</v>
      </c>
      <c r="C344" s="29"/>
      <c r="D344" s="72" t="s">
        <v>234</v>
      </c>
      <c r="E344" s="73">
        <f>ROUND(ROUND((39+42.5)/2,2)*(1+C6),2)</f>
        <v>47.39</v>
      </c>
      <c r="F344" s="27">
        <f>ROUND(C344*E344,0)</f>
        <v>0</v>
      </c>
      <c r="G344" s="75" t="s">
        <v>273</v>
      </c>
    </row>
    <row r="345" spans="1:8" s="19" customFormat="1">
      <c r="A345" s="21"/>
      <c r="B345" s="74" t="s">
        <v>258</v>
      </c>
      <c r="C345" s="29"/>
      <c r="D345" s="72" t="s">
        <v>234</v>
      </c>
      <c r="E345" s="73">
        <f>ROUND(ROUND((45+49)/2,2)*(1+C6),2)</f>
        <v>54.66</v>
      </c>
      <c r="F345" s="27">
        <f>ROUND(C345*E345,0)</f>
        <v>0</v>
      </c>
      <c r="G345" s="75" t="s">
        <v>274</v>
      </c>
    </row>
    <row r="346" spans="1:8" s="19" customFormat="1">
      <c r="A346" s="21"/>
      <c r="B346" s="74" t="s">
        <v>259</v>
      </c>
      <c r="C346" s="29"/>
      <c r="D346" s="72" t="s">
        <v>234</v>
      </c>
      <c r="E346" s="73">
        <f>ROUND(ROUND((50.5+54.5)/2,2)*(1+C6),2)</f>
        <v>61.06</v>
      </c>
      <c r="F346" s="27">
        <f>ROUND(C346*E346,0)</f>
        <v>0</v>
      </c>
      <c r="G346" s="75" t="s">
        <v>275</v>
      </c>
    </row>
    <row r="347" spans="1:8" s="19" customFormat="1">
      <c r="A347" s="21"/>
      <c r="B347" s="74" t="s">
        <v>260</v>
      </c>
      <c r="C347" s="29"/>
      <c r="D347" s="72"/>
      <c r="E347" s="76">
        <f>(20%+60%)/2*(1+C6)</f>
        <v>0.46520000000000006</v>
      </c>
      <c r="F347" s="27">
        <f>IF(C347=1,(F344+F345+F346)*E347,0)</f>
        <v>0</v>
      </c>
      <c r="G347" s="75" t="s">
        <v>276</v>
      </c>
      <c r="H347" s="19" t="s">
        <v>248</v>
      </c>
    </row>
    <row r="348" spans="1:8">
      <c r="A348" s="9"/>
      <c r="B348" s="18"/>
      <c r="C348" s="12"/>
      <c r="E348" s="14"/>
      <c r="F348" s="12"/>
    </row>
    <row r="349" spans="1:8" s="19" customFormat="1">
      <c r="A349" s="21"/>
      <c r="B349" s="3" t="s">
        <v>415</v>
      </c>
      <c r="C349" s="25"/>
      <c r="D349" s="20" t="s">
        <v>135</v>
      </c>
      <c r="E349" s="63">
        <f>ROUND(38*(1+C6),2)</f>
        <v>44.19</v>
      </c>
      <c r="F349" s="25">
        <f>ROUND(C349*E349,0)</f>
        <v>0</v>
      </c>
      <c r="G349" s="21" t="s">
        <v>277</v>
      </c>
    </row>
    <row r="350" spans="1:8" s="19" customFormat="1">
      <c r="A350" s="21"/>
      <c r="B350" s="3" t="s">
        <v>416</v>
      </c>
      <c r="C350" s="25"/>
      <c r="D350" s="20" t="s">
        <v>135</v>
      </c>
      <c r="E350" s="63">
        <f>ROUND(46*(1+C6),2)</f>
        <v>53.5</v>
      </c>
      <c r="F350" s="25">
        <f>ROUND(C350*E350,0)</f>
        <v>0</v>
      </c>
      <c r="G350" s="21" t="s">
        <v>278</v>
      </c>
    </row>
    <row r="351" spans="1:8" s="19" customFormat="1">
      <c r="A351" s="21"/>
      <c r="B351" s="3" t="s">
        <v>169</v>
      </c>
      <c r="C351" s="25"/>
      <c r="D351" s="20" t="s">
        <v>135</v>
      </c>
      <c r="E351" s="63">
        <f>ROUND(63.5*(1+C6),2)</f>
        <v>73.849999999999994</v>
      </c>
      <c r="F351" s="25">
        <f>ROUND(C351*E351,0)</f>
        <v>0</v>
      </c>
      <c r="G351" s="21" t="s">
        <v>279</v>
      </c>
    </row>
    <row r="352" spans="1:8" s="19" customFormat="1">
      <c r="A352" s="21"/>
      <c r="B352" s="39"/>
      <c r="C352" s="25"/>
      <c r="D352" s="20"/>
      <c r="E352" s="63"/>
      <c r="F352" s="25"/>
      <c r="G352" s="21"/>
    </row>
    <row r="353" spans="1:8" s="19" customFormat="1">
      <c r="A353" s="21"/>
      <c r="B353" s="3" t="s">
        <v>170</v>
      </c>
      <c r="C353" s="25"/>
      <c r="D353" s="20" t="s">
        <v>108</v>
      </c>
      <c r="E353" s="63">
        <f>ROUND(1325*(1+C6),2)</f>
        <v>1540.98</v>
      </c>
      <c r="F353" s="25">
        <f>ROUND(C353*E353,0)</f>
        <v>0</v>
      </c>
      <c r="G353" s="21" t="s">
        <v>280</v>
      </c>
    </row>
    <row r="354" spans="1:8" s="19" customFormat="1">
      <c r="A354" s="21"/>
      <c r="B354" s="3"/>
      <c r="C354" s="25"/>
      <c r="D354" s="20"/>
      <c r="E354" s="63"/>
      <c r="F354" s="25"/>
      <c r="G354" s="21"/>
    </row>
    <row r="355" spans="1:8" s="19" customFormat="1">
      <c r="A355" s="21"/>
      <c r="B355" s="99" t="s">
        <v>579</v>
      </c>
      <c r="C355" s="25"/>
      <c r="D355" s="20"/>
      <c r="E355" s="63"/>
      <c r="F355" s="25"/>
      <c r="G355" s="21"/>
    </row>
    <row r="356" spans="1:8" s="19" customFormat="1">
      <c r="A356" s="21"/>
      <c r="B356" s="100" t="s">
        <v>580</v>
      </c>
      <c r="C356" s="25"/>
      <c r="D356" s="101" t="s">
        <v>402</v>
      </c>
      <c r="E356" s="63">
        <f>385*1.163</f>
        <v>447.755</v>
      </c>
      <c r="F356" s="25">
        <f>ROUND(C356*E356,0)</f>
        <v>0</v>
      </c>
      <c r="G356" s="102" t="s">
        <v>581</v>
      </c>
    </row>
    <row r="357" spans="1:8" ht="13.8" thickBot="1">
      <c r="A357" s="102"/>
      <c r="B357" s="100" t="s">
        <v>582</v>
      </c>
      <c r="C357" s="103"/>
      <c r="D357" s="101" t="s">
        <v>234</v>
      </c>
      <c r="E357" s="104">
        <f>13.56*1.163</f>
        <v>15.770280000000001</v>
      </c>
      <c r="F357" s="25">
        <f>ROUND(C357*E357,0)</f>
        <v>0</v>
      </c>
      <c r="G357" s="105" t="s">
        <v>583</v>
      </c>
      <c r="H357" s="106" t="s">
        <v>584</v>
      </c>
    </row>
    <row r="358" spans="1:8" s="42" customFormat="1" ht="15.6">
      <c r="B358" s="1" t="s">
        <v>109</v>
      </c>
      <c r="C358" s="43"/>
      <c r="D358" s="44"/>
      <c r="E358" s="43"/>
      <c r="F358" s="45">
        <f>SUM(F10:F357)</f>
        <v>0</v>
      </c>
      <c r="G358" s="46"/>
    </row>
    <row r="359" spans="1:8" s="19" customFormat="1">
      <c r="C359" s="5"/>
      <c r="D359" s="20"/>
      <c r="E359" s="5"/>
      <c r="F359" s="25"/>
      <c r="G359" s="21"/>
    </row>
    <row r="360" spans="1:8" s="19" customFormat="1">
      <c r="A360" s="21"/>
      <c r="B360" s="19" t="s">
        <v>20</v>
      </c>
      <c r="C360" s="24">
        <v>0.1</v>
      </c>
      <c r="D360" s="20"/>
      <c r="E360" s="5"/>
      <c r="F360" s="25">
        <f>ROUND(F358*C360,0)</f>
        <v>0</v>
      </c>
      <c r="G360" s="21"/>
    </row>
    <row r="361" spans="1:8" s="19" customFormat="1" ht="13.8" thickBot="1">
      <c r="A361" s="21"/>
      <c r="C361" s="24"/>
      <c r="D361" s="20"/>
      <c r="E361" s="5"/>
      <c r="F361" s="25"/>
      <c r="G361" s="21"/>
    </row>
    <row r="362" spans="1:8" s="19" customFormat="1" ht="15.6">
      <c r="B362" s="47" t="s">
        <v>217</v>
      </c>
      <c r="C362" s="43"/>
      <c r="D362" s="44"/>
      <c r="E362" s="43"/>
      <c r="F362" s="45">
        <f>SUM(F358:F360)</f>
        <v>0</v>
      </c>
      <c r="G362" s="21"/>
    </row>
    <row r="363" spans="1:8" s="19" customFormat="1" ht="15.6">
      <c r="B363" s="47"/>
      <c r="C363" s="43"/>
      <c r="D363" s="44"/>
      <c r="E363" s="43"/>
      <c r="F363" s="48"/>
      <c r="G363" s="21"/>
    </row>
    <row r="364" spans="1:8" s="19" customFormat="1" ht="15.6">
      <c r="B364" s="47" t="s">
        <v>592</v>
      </c>
      <c r="C364" s="51"/>
      <c r="D364" s="44"/>
      <c r="E364" s="43"/>
      <c r="F364" s="48">
        <f>ROUND(F362,-2)</f>
        <v>0</v>
      </c>
      <c r="G364" s="21"/>
    </row>
    <row r="365" spans="1:8" s="19" customFormat="1" ht="15.6">
      <c r="B365" s="47"/>
      <c r="C365" s="51"/>
      <c r="D365" s="44"/>
      <c r="E365" s="43"/>
      <c r="F365" s="48"/>
      <c r="G365" s="21"/>
    </row>
    <row r="366" spans="1:8" s="19" customFormat="1" ht="15.6">
      <c r="B366" s="47" t="s">
        <v>593</v>
      </c>
      <c r="C366" s="51"/>
      <c r="D366" s="44"/>
      <c r="E366" s="43"/>
      <c r="F366" s="25">
        <f>ROUND(SUM(F10:F280)*1.1,-2)</f>
        <v>0</v>
      </c>
      <c r="G366" s="21"/>
    </row>
    <row r="367" spans="1:8" s="19" customFormat="1">
      <c r="C367" s="5"/>
      <c r="D367" s="20"/>
      <c r="E367" s="5"/>
      <c r="F367" s="25"/>
      <c r="G367" s="21"/>
    </row>
    <row r="368" spans="1:8" s="47" customFormat="1" ht="18">
      <c r="B368" s="107" t="s">
        <v>585</v>
      </c>
      <c r="C368" s="49"/>
      <c r="D368" s="50"/>
      <c r="E368" s="49"/>
      <c r="F368" s="88">
        <f>ROUND((0.8284*((500*(F364+7500))^0.5+2000)),0)</f>
        <v>3261</v>
      </c>
      <c r="G368" s="1"/>
    </row>
    <row r="369" spans="1:7" s="47" customFormat="1" ht="18">
      <c r="B369" s="107" t="s">
        <v>586</v>
      </c>
      <c r="C369" s="49"/>
      <c r="D369" s="50"/>
      <c r="E369" s="49"/>
      <c r="F369" s="88">
        <f>ROUND(0.7775*(((188*(F364+7500))^0.5)+645),0)</f>
        <v>1425</v>
      </c>
      <c r="G369" s="1"/>
    </row>
    <row r="370" spans="1:7" s="19" customFormat="1" ht="15.6">
      <c r="A370" s="47"/>
      <c r="B370" s="47"/>
      <c r="C370" s="49"/>
      <c r="D370" s="50"/>
      <c r="E370" s="49"/>
      <c r="F370" s="88"/>
      <c r="G370" s="21"/>
    </row>
    <row r="371" spans="1:7" ht="15.6">
      <c r="A371" s="19"/>
      <c r="B371" s="107" t="s">
        <v>587</v>
      </c>
      <c r="C371" s="5"/>
      <c r="D371" s="20"/>
      <c r="E371" s="5"/>
      <c r="F371" s="108">
        <f>ROUND((F368*0.03)+(F369*0.03),0)</f>
        <v>141</v>
      </c>
    </row>
    <row r="373" spans="1:7" ht="15.6">
      <c r="A373" s="106"/>
      <c r="B373" s="107" t="s">
        <v>588</v>
      </c>
      <c r="C373" s="104"/>
      <c r="D373" s="101"/>
      <c r="E373" s="104"/>
      <c r="F373" s="104">
        <v>0</v>
      </c>
    </row>
    <row r="374" spans="1:7" ht="15.6">
      <c r="A374" s="106"/>
      <c r="B374" s="107" t="s">
        <v>589</v>
      </c>
      <c r="C374" s="104"/>
      <c r="D374" s="101"/>
      <c r="E374" s="104"/>
      <c r="F374" s="104">
        <v>0</v>
      </c>
    </row>
    <row r="375" spans="1:7" ht="16.2" thickBot="1">
      <c r="A375" s="106"/>
      <c r="B375" s="47" t="s">
        <v>591</v>
      </c>
      <c r="C375" s="109">
        <v>0.25</v>
      </c>
      <c r="D375" s="44"/>
      <c r="E375" s="43"/>
      <c r="F375" s="43">
        <f>+F364*C375</f>
        <v>0</v>
      </c>
    </row>
    <row r="376" spans="1:7" ht="15.6">
      <c r="A376" s="106"/>
      <c r="B376" s="47" t="s">
        <v>590</v>
      </c>
      <c r="C376" s="5"/>
      <c r="D376" s="20"/>
      <c r="E376" s="5"/>
      <c r="F376" s="110">
        <f>+F375+F374+F373</f>
        <v>0</v>
      </c>
    </row>
  </sheetData>
  <phoneticPr fontId="7"/>
  <printOptions horizontalCentered="1" gridLines="1"/>
  <pageMargins left="0.75" right="0.75" top="1" bottom="1" header="0.5" footer="0.5"/>
  <pageSetup scale="97" orientation="portrait" horizontalDpi="4294967292" verticalDpi="4294967292" r:id="rId1"/>
  <headerFooter alignWithMargins="0">
    <oddHeader xml:space="preserve">&amp;C&amp;A
Lands of 
File No.: </oddHeader>
    <oddFooter>&amp;LSanta Clara County
Land Development Engineering&amp;R&amp;D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6F2214C862841AD2EE64E630211F9" ma:contentTypeVersion="6" ma:contentTypeDescription="Create a new document." ma:contentTypeScope="" ma:versionID="a400acf931528ae89e2312f5674a6bd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6bc5700c63589156345452434e8e2a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AF8CAAF-8696-4FF0-8494-A8D73559F810}"/>
</file>

<file path=customXml/itemProps2.xml><?xml version="1.0" encoding="utf-8"?>
<ds:datastoreItem xmlns:ds="http://schemas.openxmlformats.org/officeDocument/2006/customXml" ds:itemID="{D8AB82CB-5B13-4E0E-929C-83CDFEED2BDA}"/>
</file>

<file path=customXml/itemProps3.xml><?xml version="1.0" encoding="utf-8"?>
<ds:datastoreItem xmlns:ds="http://schemas.openxmlformats.org/officeDocument/2006/customXml" ds:itemID="{A1865FC4-9FB8-47E2-A16F-489EB09EF9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On-Site Improvements</vt:lpstr>
      <vt:lpstr>'On-Site Improvements'!Print_Area</vt:lpstr>
      <vt:lpstr>'On-Site Improvements'!Print_Titles</vt:lpstr>
    </vt:vector>
  </TitlesOfParts>
  <Company>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File No.</dc:title>
  <dc:subject>Road Name Improvements</dc:subject>
  <dc:creator>Chris Freitas</dc:creator>
  <cp:keywords/>
  <dc:description>Lands of Owner</dc:description>
  <cp:lastModifiedBy>Chris Freitas</cp:lastModifiedBy>
  <cp:lastPrinted>2014-07-16T00:05:33Z</cp:lastPrinted>
  <dcterms:created xsi:type="dcterms:W3CDTF">2000-05-19T18:23:59Z</dcterms:created>
  <dcterms:modified xsi:type="dcterms:W3CDTF">2014-10-21T17:30:15Z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0x010100C856F2214C862841AD2EE64E630211F9</vt:lpwstr>
  </property>
  <property fmtid="{D5CDD505-2E9C-101B-9397-08002B2CF9AE}" pid="3" name="Order">
    <vt:r8>619600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